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_ΚΑΤ_ΠΕ81 ΠΟΛ.ΜΗΧΑΝΙΚΩΝ-ΑΡΧΙΤΕ" sheetId="1" r:id="rId1"/>
  </sheets>
  <definedNames/>
  <calcPr fullCalcOnLoad="1"/>
</workbook>
</file>

<file path=xl/sharedStrings.xml><?xml version="1.0" encoding="utf-8"?>
<sst xmlns="http://schemas.openxmlformats.org/spreadsheetml/2006/main" count="6707" uniqueCount="2324">
  <si>
    <t>ΣΕΙΡΑ ΚΑΤΑΤΑΞΗΣ (ΚΥΡΙΟΣ)</t>
  </si>
  <si>
    <t>ΠΑΝΕΠΙΣΤΗΜΙΑΚΗΣ ΕΚΠΑΙΔΕΥΣΗΣ (ΠΕ)</t>
  </si>
  <si>
    <t>ΓΕΝΙΚΕΣ ΘΕΣΕΙΣ ΜΕ ΕΜΠΕΙΡΙΑ</t>
  </si>
  <si>
    <t>ΠΕ81 ΠΟΛ.ΜΗΧΑΝΙΚΩΝ-ΑΡΧΙΤΕΚΤΟΝΩΝ</t>
  </si>
  <si>
    <t>Α/Α</t>
  </si>
  <si>
    <t>Α.Μ.</t>
  </si>
  <si>
    <t>ΕΠΩΝΥΜΟ</t>
  </si>
  <si>
    <t>ΟΝΟΜΑ</t>
  </si>
  <si>
    <t>ΠΑΤΡΩΝΥΜΟ</t>
  </si>
  <si>
    <t>ΜΟΝΑΔΙΚΟΣ ΚΩΔΙΚΟΣ</t>
  </si>
  <si>
    <t>ΒΑΘΜΟΛΟΓΙΑ</t>
  </si>
  <si>
    <t>ΣΒΕΝΤΖΟΥΡΗΣ</t>
  </si>
  <si>
    <t>ΚΩΝΣΤΑΝΤΙΝΟΣ</t>
  </si>
  <si>
    <t>ΠΑΥΛΟΣ</t>
  </si>
  <si>
    <t>ΝΑΙ</t>
  </si>
  <si>
    <t>ΓΙΑΚΑΜΟΖΗ</t>
  </si>
  <si>
    <t>ΒΑΣΙΛΙΚΗ</t>
  </si>
  <si>
    <t>ΙΩΑΝΝΗΣ</t>
  </si>
  <si>
    <t>ΤΣΑΜΟΥΡΤΖΗΣ</t>
  </si>
  <si>
    <t>ΓΙΑΤΑΓΑΝΑΣ</t>
  </si>
  <si>
    <t>ΗΛΙΑΣ</t>
  </si>
  <si>
    <t>ΔΗΜΗΤΡΙΟΣ</t>
  </si>
  <si>
    <t>ΜΠΟΥΡΛΙΟΣ</t>
  </si>
  <si>
    <t>ΒΑΣΙΛΕΙΟΣ</t>
  </si>
  <si>
    <t>ΣΤΕΦΑΝΟΣ</t>
  </si>
  <si>
    <t>ΧΑΡΙΤΟΥ</t>
  </si>
  <si>
    <t>ΛΕΥΚΗ</t>
  </si>
  <si>
    <t>ΓΕΩΡΓΙΟΣ</t>
  </si>
  <si>
    <t>ΣΧΟΙΝΑ</t>
  </si>
  <si>
    <t>ΜΑΡΙΑ</t>
  </si>
  <si>
    <t>ΝΙΚΟΛΑΟΣ</t>
  </si>
  <si>
    <t>ΛΑΝΤΖΑΚΗ</t>
  </si>
  <si>
    <t>ΑΦΡΟΔΙΤΗ</t>
  </si>
  <si>
    <t>ΠΑΠΑΓΕΩΡΓΑΚΗΣ</t>
  </si>
  <si>
    <t>ΚΥΡΙΑΚΙΔΗ</t>
  </si>
  <si>
    <t>ΦΩΤΕΙΝΗ</t>
  </si>
  <si>
    <t>ΠΑΠΑΓΕΩΡΓΙΟΥ</t>
  </si>
  <si>
    <t>ΔΗΜΗΤΡΑ</t>
  </si>
  <si>
    <t>ΠΑΝΑΓΟΠΟΥΛΟΣ</t>
  </si>
  <si>
    <t>ΑΡΙΣΤΕΙΔΗΣ</t>
  </si>
  <si>
    <t>ΤΕΝΕΔΙΟΥ</t>
  </si>
  <si>
    <t>ΑΝΑΣΤΑΣΙΑ</t>
  </si>
  <si>
    <t>ΝΤΟΒΑ</t>
  </si>
  <si>
    <t>ΕΥΜΟΡΦΙΑ</t>
  </si>
  <si>
    <t>ΕΥΑΓΓΕΛΟΣ</t>
  </si>
  <si>
    <t>ΚΟΥΤΣΟΓΙΑΝΝΗ</t>
  </si>
  <si>
    <t>ΚΩΝΣΤΑΝΤΙΝΑ</t>
  </si>
  <si>
    <t xml:space="preserve">ΧΡΗΣΤΟΣ </t>
  </si>
  <si>
    <t>ΒΑΚΑΛΗ</t>
  </si>
  <si>
    <t>ΨΩΜΙΑΔΟΥ</t>
  </si>
  <si>
    <t>ΣΟΦΙΑ</t>
  </si>
  <si>
    <t>ΕΥΣΤΑΘΙΟΣ</t>
  </si>
  <si>
    <t>ΖΗΛΙΑΝΑΙΟΥ</t>
  </si>
  <si>
    <t>ΧΡΗΣΤΟΣ</t>
  </si>
  <si>
    <t>ΜΑΡΚΕΤΟΥ</t>
  </si>
  <si>
    <t>ΕΥΡΙΔΙΚΗ</t>
  </si>
  <si>
    <t>ΓΕΡΑΣΙΜΟΣ</t>
  </si>
  <si>
    <t>Αγγελίδου</t>
  </si>
  <si>
    <t>Μαργαρίτα</t>
  </si>
  <si>
    <t>ΝΙΚΟΛΑΡΑΚΗΣ</t>
  </si>
  <si>
    <t>ΑΝΤΩΝΙΟΣ</t>
  </si>
  <si>
    <t>ΜΑΡΚΟΣ</t>
  </si>
  <si>
    <t>ΡΗΓΑ</t>
  </si>
  <si>
    <t>ΕΥΛΑΜΠΙΑ-ΕΥΤΕΡΠΗ</t>
  </si>
  <si>
    <t>ΜΑΥΡΙΔΟΥ</t>
  </si>
  <si>
    <t>ΑΠΟΣΤΟΛΑΚΗ</t>
  </si>
  <si>
    <t>ΧΡΥΣΗ</t>
  </si>
  <si>
    <t>ΗΡΑΚΛΗΣ</t>
  </si>
  <si>
    <t>ΝΑΝΑ</t>
  </si>
  <si>
    <t>ΜΑΡΙΑΝΝΑ</t>
  </si>
  <si>
    <t>ΣΕΡΑΦΕΙΜ</t>
  </si>
  <si>
    <t>ΜΗΤΟΥΛΗ</t>
  </si>
  <si>
    <t>ΑΝΤΙΓΟΝΗ</t>
  </si>
  <si>
    <t>ΑΡΙΣΤΟΤΕΛΗΣ</t>
  </si>
  <si>
    <t>ΜΠΕΚΡΗ</t>
  </si>
  <si>
    <t>ΕΛΕΝΗ</t>
  </si>
  <si>
    <t>ΣΠΥΡΙΔΩΝ</t>
  </si>
  <si>
    <t>ΤΗΛΙΓΑΔΑ</t>
  </si>
  <si>
    <t>ΒΙΟΛΕΤΤΑ</t>
  </si>
  <si>
    <t>ΣΙΝΗΣ</t>
  </si>
  <si>
    <t>ΑΘΑΝΑΣΙΟΣ</t>
  </si>
  <si>
    <t>ΠΑΠΑΔΑΚΗ</t>
  </si>
  <si>
    <t>ΑΝΤΙΟΠΗ</t>
  </si>
  <si>
    <t>ΠΑΝΤΕΛΗΣ</t>
  </si>
  <si>
    <t>ΚΟΙΛΑΝΙΤΗΣ</t>
  </si>
  <si>
    <t>ΔΑΝΙΗΛ</t>
  </si>
  <si>
    <t>ΑΛΚΗΣΤΗ</t>
  </si>
  <si>
    <t>ΦΩΤΟΠΟΥΛΟΥ</t>
  </si>
  <si>
    <t>ΣΤΑΥΡΟΥΛΑ</t>
  </si>
  <si>
    <t>ΤΣΕΛΕΠΗ</t>
  </si>
  <si>
    <t>ΠΑΝΑΓΙΩΤΑ</t>
  </si>
  <si>
    <t>ΑΛΕΞΑΝΔΡΟΣ</t>
  </si>
  <si>
    <t>ΣΑΒΒΙΛΩΤΙΔΟΥ</t>
  </si>
  <si>
    <t>ΚΟΣΜΑΣ</t>
  </si>
  <si>
    <t>ΝΑΚΑΣΗΣ</t>
  </si>
  <si>
    <t>ΑΓΓΕΛΟΣ</t>
  </si>
  <si>
    <t>ΜΑΡΚΟΥ</t>
  </si>
  <si>
    <t>ΓΕΩΡΓΙΑ</t>
  </si>
  <si>
    <t>ΒΑΤΑΒΑΛΗ</t>
  </si>
  <si>
    <t>ΦΕΡΕΝΙΚΗ</t>
  </si>
  <si>
    <t>ΜΗΛΙΟΣ</t>
  </si>
  <si>
    <t>ΘΕΟΔΟΣΙΟΣ</t>
  </si>
  <si>
    <t>ΖΑΦΕΙΡΟΠΟΥΛΟΥ</t>
  </si>
  <si>
    <t>ΜΠΑΛΙΏΤΗ</t>
  </si>
  <si>
    <t>ΠΑΝΑΓΙΏΤΗΣ</t>
  </si>
  <si>
    <t>ΣΤΡΕΠΕΛΙΑΣ</t>
  </si>
  <si>
    <t>ΣΩΤΗΡΙΟΣ</t>
  </si>
  <si>
    <t>ΠΑΠΑΡΓΥΡΟΠΟΥΛΟΥ</t>
  </si>
  <si>
    <t>ΑΠΟΣΤΟΛΑΚΑΚΗΣ</t>
  </si>
  <si>
    <t>ΑΠΟΣΤΟΛΟΣ</t>
  </si>
  <si>
    <t>ΠΑΣΧΑΛΙΔΗΣ</t>
  </si>
  <si>
    <t>ΘΕΟΔΩΡΟΣ</t>
  </si>
  <si>
    <t>ΠΑΠΑΧΡΙΣΤΟΦΟΡΟΥ</t>
  </si>
  <si>
    <t>ΜΙΧΑΗΛ</t>
  </si>
  <si>
    <t>ΧΡΙΣΤΟΦΟΡΟΣ</t>
  </si>
  <si>
    <t>ΚΡΗΝΙΔΗΣ</t>
  </si>
  <si>
    <t>ΣΠΑΝΟΣ</t>
  </si>
  <si>
    <t>ΧΑΛΑΤΣΗ</t>
  </si>
  <si>
    <t>ΕΡΡΙΚΟΣ</t>
  </si>
  <si>
    <t>ΜΑΚΡΟΠΟΥΛΟΥ</t>
  </si>
  <si>
    <t>ΕΜΜΑΝΟΥΗΛ</t>
  </si>
  <si>
    <t>ΤΖΑΒΑΡΑ</t>
  </si>
  <si>
    <t>ΙΩΑΝΝΑ</t>
  </si>
  <si>
    <t>ΚΩΛΕΤΤΑΣ</t>
  </si>
  <si>
    <t>ΠΑΝΑΓΙΩΤΗΣ</t>
  </si>
  <si>
    <t>ΒΟΡΙΑΖΙΔΗΣ</t>
  </si>
  <si>
    <t>ΨΑΡΡΑ</t>
  </si>
  <si>
    <t>ΝΙΚΟΛΙΑ</t>
  </si>
  <si>
    <t>ΠΑΠΑΠΟΣΤΟΛΟΥ</t>
  </si>
  <si>
    <t>ΚΑΦΦΕΤΖΑΚΗΣ</t>
  </si>
  <si>
    <t>ΚΩΝΣΤΑΝΤΟΠΟΥΛΟΥ</t>
  </si>
  <si>
    <t>ΝΙΚΗΦΟΡΟΣ</t>
  </si>
  <si>
    <t>ΝΕΡΑΝΤΖΑΚΗ</t>
  </si>
  <si>
    <t>ΠΑΝΑΓΙΩΤΑΚΗ</t>
  </si>
  <si>
    <t>ΧΡΥΣΑΝΙΔΗΣ</t>
  </si>
  <si>
    <t>ΑΝΑΣΤΑΣΙΟΣ</t>
  </si>
  <si>
    <t>ΦΑΛΑΡΑ</t>
  </si>
  <si>
    <t>ΠΑΝΤΟΥΣΑ</t>
  </si>
  <si>
    <t>ΔΑΦΝΗ</t>
  </si>
  <si>
    <t>ΘΩΜΑΣ</t>
  </si>
  <si>
    <t>ΓΙΑΝΝΟΥ</t>
  </si>
  <si>
    <t>ΚΩΣΤΑΣ</t>
  </si>
  <si>
    <t>ΚΑΡΙΝΙΩΤΑΚΗΣ</t>
  </si>
  <si>
    <t>ΑΝΤΩΝΙΟΥ</t>
  </si>
  <si>
    <t>ΟΙΚΟΝΟΜΟΥ</t>
  </si>
  <si>
    <t>ΒΥΡΩΝ</t>
  </si>
  <si>
    <t>ΚΑΡΑΤΖΑΦΕΡΗ</t>
  </si>
  <si>
    <t>ΛΙΩΛΙΟΣ</t>
  </si>
  <si>
    <t>ΑΣΤΕΡΙΟΣ</t>
  </si>
  <si>
    <t>ΧΑΛΚΟΥ</t>
  </si>
  <si>
    <t>ΔΑΦΝΗ ΣΤΑΥΡΟΥΛΑ</t>
  </si>
  <si>
    <t>ΠΕΤΡΟΣ</t>
  </si>
  <si>
    <t>ΓΕΝΗΚΟΜΣΟΥ</t>
  </si>
  <si>
    <t>ΑΙΚΑΤΕΡΙΝΗ</t>
  </si>
  <si>
    <t>ΠΑΡΔΑΛΟΠΟΥΛΟΣ</t>
  </si>
  <si>
    <t>ΣΤΥΛΙΑΝΟΣ</t>
  </si>
  <si>
    <t>ΜΠΑΛΩΜΕΝΟΣ</t>
  </si>
  <si>
    <t>ΜΑΛΑΜΑΤΑΡΗΣ</t>
  </si>
  <si>
    <t>ΑΛΚΙΒΙΑΔΗΣ</t>
  </si>
  <si>
    <t>ΠΑΠΑΝΤΩΝΙΟΥ</t>
  </si>
  <si>
    <t>ΑΝΔΡΕΑΝΑ</t>
  </si>
  <si>
    <t>ΤΣΙΛΙΚΑ</t>
  </si>
  <si>
    <t>ΕΥΑΓΓ</t>
  </si>
  <si>
    <t>ΣΙΜΟΣ</t>
  </si>
  <si>
    <t>ΒΟΥΤΣΙΝΑ</t>
  </si>
  <si>
    <t>ΠΕΡΣΕΦΟΝΗ ΚΑΛΛΙΟΠΗ</t>
  </si>
  <si>
    <t>ΠΑΝΑΓΗΣ</t>
  </si>
  <si>
    <t>ΜΑΝΔΟΥΛΙΔΟΥ</t>
  </si>
  <si>
    <t>ΕΛΙΣΑΒΕΤ</t>
  </si>
  <si>
    <t>ΠΑΠΑΔΑ</t>
  </si>
  <si>
    <t>ΛΕΥΚΟΘΕΑ</t>
  </si>
  <si>
    <t>ΓΟΥΛΙΑΡΗΣ</t>
  </si>
  <si>
    <t>ΣΑΖΑΚΛΙΔΟΥ</t>
  </si>
  <si>
    <t>ΕΙΡΗΝΗ</t>
  </si>
  <si>
    <t>ΜΟΣΧΑΣ</t>
  </si>
  <si>
    <t>ΘΕΟΦΑΝΗΣ</t>
  </si>
  <si>
    <t>ΠΑΝΤΟΣ</t>
  </si>
  <si>
    <t>ΛΑΜΠΡΟΣ</t>
  </si>
  <si>
    <t>ΒΡΑΝΝΑ</t>
  </si>
  <si>
    <t>ΒΟΥΛΓΑΡΗ</t>
  </si>
  <si>
    <t>ΧΡΥΣΟΥΛΑ</t>
  </si>
  <si>
    <t>ΠΕΡΔΙΚΗ</t>
  </si>
  <si>
    <t>ΙΩΣΗΦ</t>
  </si>
  <si>
    <t>ΔΑΝΙΑ</t>
  </si>
  <si>
    <t>ΚΑΣΩΛΗ</t>
  </si>
  <si>
    <t>ΓΚΙΟΥΡΚΑ</t>
  </si>
  <si>
    <t>ΠΑΡΑΣΚΕΥΗ</t>
  </si>
  <si>
    <t>ΣΚΑΛΙΔΑΚΗ</t>
  </si>
  <si>
    <t>ΣΤΥΛΙΑΝΗ</t>
  </si>
  <si>
    <t>ΠΛΕΥΡΗΣ</t>
  </si>
  <si>
    <t>ΠΟΥΛΟΠΟΥΛΟΥ</t>
  </si>
  <si>
    <t>ΚΑΣΑΠΗ</t>
  </si>
  <si>
    <t>ΧΡΥΣΟΥΛΑ-ΣΟΦΙΑ</t>
  </si>
  <si>
    <t>ΨΑΡΡΑΣ</t>
  </si>
  <si>
    <t>ΘΕΟΧΑΡΗΣ</t>
  </si>
  <si>
    <t>ΑΚΡΙΤΙΔΟΥ</t>
  </si>
  <si>
    <t>ΣΤΕΛΛΑ</t>
  </si>
  <si>
    <t>ΕΛΕΥΘΕΡΙΑΔΟΥ</t>
  </si>
  <si>
    <t>ΤΣΙΑΤΜΑ</t>
  </si>
  <si>
    <t>ΣΤΕΡΓΙΑΝΗ</t>
  </si>
  <si>
    <t>ΣΙΔΗΡΟΠΟΥΛΟΣ</t>
  </si>
  <si>
    <t>ΑΝΔΡΕΑΣ</t>
  </si>
  <si>
    <t>ΜΑΥΡΑΝΤΩΝΗ</t>
  </si>
  <si>
    <t>ΕΛΕΟΥΣΑ</t>
  </si>
  <si>
    <t>ΑΒΡΑΑΜ</t>
  </si>
  <si>
    <t>ΧΡΥΣΟΣΤΟΜΙΔΗΣ</t>
  </si>
  <si>
    <t>ΘΟΔΩΡΗΣ</t>
  </si>
  <si>
    <t>ΑΝΕΣΤΗΣ</t>
  </si>
  <si>
    <t>ΒΑΣΟΣ</t>
  </si>
  <si>
    <t>ΜΗΤΣΙΟΥ</t>
  </si>
  <si>
    <t>ΧΑΤΖΗΣ</t>
  </si>
  <si>
    <t>ΒΑΜΒΑΚΙΑΣ</t>
  </si>
  <si>
    <t>ΓΙΑΝΝΑΚΟΠΟΥΛΟΥ</t>
  </si>
  <si>
    <t>ΕΛΙΣΣΑΒΕΤ-ΣΟΦΙΑ</t>
  </si>
  <si>
    <t>ΣΕΡΡΑΣ</t>
  </si>
  <si>
    <t>ΔΙΟΝΥΣΙΟΣ</t>
  </si>
  <si>
    <t>ΦΑΗΣ</t>
  </si>
  <si>
    <t>ΑΤΣΙΚΠΑΣΗ</t>
  </si>
  <si>
    <t>ΠΕΡΣΕΦΟΝΗ</t>
  </si>
  <si>
    <t>ΣΠΥΡΟΣ</t>
  </si>
  <si>
    <t>ΒΑΛΑΒΑΝΙΔΟΥ</t>
  </si>
  <si>
    <t>ΚΑΛΑΙΤΖΑΚΗ</t>
  </si>
  <si>
    <t>ΕΛΒΙΡΑ</t>
  </si>
  <si>
    <t>Χρυσικοπούλου</t>
  </si>
  <si>
    <t>Στεφανία</t>
  </si>
  <si>
    <t>Συμεών</t>
  </si>
  <si>
    <t>ΤΑΣΙΟΥΛΑ</t>
  </si>
  <si>
    <t>ΚΩΝΣΤΑΝΤΙΑ</t>
  </si>
  <si>
    <t>ΤΣΕΠΟΥΡΑ</t>
  </si>
  <si>
    <t>ΚΑΤΣΕΝΙΟΥ</t>
  </si>
  <si>
    <t>ΜΑΛΕΤΣΙΚΑΣ</t>
  </si>
  <si>
    <t>ΣΤΕΛΙΟΣ</t>
  </si>
  <si>
    <t>ΒΟΓΙΑΤΖΗ</t>
  </si>
  <si>
    <t>ΠΡΕΑΡΗ</t>
  </si>
  <si>
    <t>ΜΕΛΙΝΑ</t>
  </si>
  <si>
    <t>ΠΑΝΤΑΖΗ</t>
  </si>
  <si>
    <t>ΑΓΓΕΛΙΚΗ</t>
  </si>
  <si>
    <t>ΜΑΓΟΣ</t>
  </si>
  <si>
    <t>ΚΥΡΙΑΚΟΣ ΠΑΝΤΕΛΕΗΜΩΝ</t>
  </si>
  <si>
    <t>ΔΑΓΓΑΣ</t>
  </si>
  <si>
    <t>ΙΟΡΔΑΝΗΣ</t>
  </si>
  <si>
    <t>ΔΟΥΚΑ</t>
  </si>
  <si>
    <t>ΧΑΤΖΗΠΑΝΑΓΙΩΤΟΥ</t>
  </si>
  <si>
    <t>ΠΕΤΡΑ</t>
  </si>
  <si>
    <t>ΔΡΟΣΟΠΟΥΛΟΣ</t>
  </si>
  <si>
    <t>ΚΟΛΟΚΟΤΣΑ</t>
  </si>
  <si>
    <t>ΚΟΡΩΝΙΔΗ</t>
  </si>
  <si>
    <t>ΙΣΜΗΝΗ</t>
  </si>
  <si>
    <t>ΛΥΜΟΥΡΑΣ</t>
  </si>
  <si>
    <t>ΑΡΧΟΝΤΗΣ</t>
  </si>
  <si>
    <t>ΝΤΕΛΜΕΚΟΥΡΑ</t>
  </si>
  <si>
    <t>ΜΠΟΝΑΡΟΥ</t>
  </si>
  <si>
    <t>ΑΝΝΑ</t>
  </si>
  <si>
    <t>ΚΥΡΙΑΚΗ</t>
  </si>
  <si>
    <t>ΔΙΑΜΑΝΤΗΣ</t>
  </si>
  <si>
    <t>ΠΗΛΙΤΣΗ</t>
  </si>
  <si>
    <t>ΒΑΗ</t>
  </si>
  <si>
    <t>ΤΣΙΚΡΑ</t>
  </si>
  <si>
    <t>ΠΕΛΑΓΙΑ</t>
  </si>
  <si>
    <t>ΜΕΝΕΛΑΟΣ</t>
  </si>
  <si>
    <t>ΚΑΡΚΑΤΣΕΛΑΣ</t>
  </si>
  <si>
    <t>ΠΑΣΧΑΛΙΔΟΥ</t>
  </si>
  <si>
    <t>ΚΙΛΙΑ</t>
  </si>
  <si>
    <t>ΔΑΣΚΑΛΟΠΟΥΛΟΥ</t>
  </si>
  <si>
    <t>ΑΛΕΞΑΚΗ</t>
  </si>
  <si>
    <t>ΑΡΧΟΝΤΙΑ</t>
  </si>
  <si>
    <t>ΔΗΜΗΤΡΑΚΗΣ</t>
  </si>
  <si>
    <t>ΠΑΠΑΔΟΠΟΥΛΟΥ</t>
  </si>
  <si>
    <t>ΔΗΜΗΤΡ</t>
  </si>
  <si>
    <t>ΓΙΑΝΝΟΠΟΥΛΟΣ</t>
  </si>
  <si>
    <t>ΠΟΛΥΧΡΟΝΗΣ</t>
  </si>
  <si>
    <t>ΚΥΖΕΡΙΔΟΥ</t>
  </si>
  <si>
    <t>ΔΕΛΑΠΟΡΤΑ</t>
  </si>
  <si>
    <t>ΣΤΑΥΡΟΣ</t>
  </si>
  <si>
    <t>ΚΟΣΜΙΔΗΣ</t>
  </si>
  <si>
    <t>ΣΙΔΗΡΟΠΟΥΛΟΥ</t>
  </si>
  <si>
    <t>ΑΝΑΡΓΥΡΟΣ</t>
  </si>
  <si>
    <t>ΝΙΝΟΣ</t>
  </si>
  <si>
    <t>ΓΙΑΝΝΗΣ</t>
  </si>
  <si>
    <t>ΜΟΥΝΤΡΙΧΑΣ</t>
  </si>
  <si>
    <t>ΔΑΡΙΒΙΑΝΑΚΗΣ</t>
  </si>
  <si>
    <t>ΝΕΚΤΑΡΙΟΣ</t>
  </si>
  <si>
    <t>ΑΔΑΜ</t>
  </si>
  <si>
    <t>ΓΙΩΤΑ</t>
  </si>
  <si>
    <t>ΠΕΡΙΚΛΗΣ</t>
  </si>
  <si>
    <t>ΣΑΚΑΛΗΣ</t>
  </si>
  <si>
    <t>ΑΘΑΝΑΣΙΑΔΟΥ</t>
  </si>
  <si>
    <t>ΓΑΡΕΦΑΛΑΚΗΣ</t>
  </si>
  <si>
    <t>ΧΑΡΑΛΑΜΠΟΣ</t>
  </si>
  <si>
    <t>ΚΥΡΙΑΚΟΣ</t>
  </si>
  <si>
    <t>ΜΕΘΥΜΑΚΗ</t>
  </si>
  <si>
    <t>ΜΙΤΖΑΛΗΣ</t>
  </si>
  <si>
    <t>ΚΑΡΚΑΤΣΕΛΑ</t>
  </si>
  <si>
    <t>ΚΟΥΡΝΙΑΤΗΣ</t>
  </si>
  <si>
    <t>ΣΤΕΡΓΙΑΝΝΗ</t>
  </si>
  <si>
    <t>ΚΟΤΖΑ</t>
  </si>
  <si>
    <t>ΜΑΡΙΝΑ</t>
  </si>
  <si>
    <t>ΧΡΙΣΤΟΔΟΥΛΟΣ</t>
  </si>
  <si>
    <t>ΒΕΡΕΤΤΑ</t>
  </si>
  <si>
    <t>ΑΛΕΞΑΝΔΡΑ ΙΩΑΝΝΑ</t>
  </si>
  <si>
    <t>ΚΑΝΕΛΛΟΠΟΥΛΟΥ</t>
  </si>
  <si>
    <t>ΒΑΣΩ</t>
  </si>
  <si>
    <t>ΣΟΦΟΠΟΥΛΟΥ</t>
  </si>
  <si>
    <t>ΧΡΙΣΤΙΝΑ ΚΡΥΣΤΑΛΛΩ</t>
  </si>
  <si>
    <t>ΚΑΛΑΜΠΟΓΙΑ</t>
  </si>
  <si>
    <t>ΕΥΔΟΚΙΑ</t>
  </si>
  <si>
    <t>ΜΟΥΧΤΑΡΗ</t>
  </si>
  <si>
    <t>ΕΥΘΥΜΙΟΥ</t>
  </si>
  <si>
    <t>ΝΙΚΟΠΑΝΑΓΙΩΤΗΣ</t>
  </si>
  <si>
    <t>ΔΑΤΣΕΡΗ</t>
  </si>
  <si>
    <t>ΤΣΑΛΙΑΓΚΟΥ</t>
  </si>
  <si>
    <t>ΖΑΒΙΤΣΑΝΟΥ</t>
  </si>
  <si>
    <t>ΑΒΡΟΚΩΜΗ</t>
  </si>
  <si>
    <t>ΒΑΡΔΑΛΗΣ</t>
  </si>
  <si>
    <t>ΝΤΟΝΤΗ</t>
  </si>
  <si>
    <t>ΚΑΓΚΑΝΗ</t>
  </si>
  <si>
    <t>ΑΝΤΩΝΙΑ</t>
  </si>
  <si>
    <t>ΠΑΥΛΙΔΟΥ</t>
  </si>
  <si>
    <t>ΠΟΛΥΞΕΝΗ</t>
  </si>
  <si>
    <t>ΚΑΡΕΛΑΣ</t>
  </si>
  <si>
    <t>ΧΑΒΑΛΕ</t>
  </si>
  <si>
    <t>ΤΑΒΛΙΚΟΣ</t>
  </si>
  <si>
    <t>ΒΑΛΣΑΜΗΣ</t>
  </si>
  <si>
    <t>ΚΩΝΣΤΑΝΤΙΝΙΔΟΥ</t>
  </si>
  <si>
    <t>ΝΕΟΚΛΗΣ</t>
  </si>
  <si>
    <t>ΜΑΡΓΑΡΗΣ</t>
  </si>
  <si>
    <t>ΧΑΤΖΗΔΗΜΗΤΡΙΟΥ</t>
  </si>
  <si>
    <t>ΘΕΟΛΟΓΟΣ</t>
  </si>
  <si>
    <t>ΚΑΡΑΜΠΕΡΗ</t>
  </si>
  <si>
    <t>ΛΑΚΚΑΣ</t>
  </si>
  <si>
    <t>ΓΡΙΒΑ</t>
  </si>
  <si>
    <t>ΠΑΝΑΓΙΩΤΟΥ ΑΒΡΑΜΗ</t>
  </si>
  <si>
    <t>ΙΩΑΝΝΙΔΟΥ</t>
  </si>
  <si>
    <t>ΕΥΣΤΑΘΙΑ</t>
  </si>
  <si>
    <t>ΡΑΣΟΥΛΗ</t>
  </si>
  <si>
    <t>ΕΜΜΑΝΟΥΕΛΑ</t>
  </si>
  <si>
    <t>ΑΝΔΡΙΑΝΑ</t>
  </si>
  <si>
    <t>ΓΕΩΡΓΙΑΔΗΣ</t>
  </si>
  <si>
    <t>ΜΑΤΣΚΑΝΗ</t>
  </si>
  <si>
    <t>ΣΥΜΕΩΝ</t>
  </si>
  <si>
    <t>ΤΣΙΡΙΚΑ</t>
  </si>
  <si>
    <t>ΧΡΗΣΙΜΟΣ</t>
  </si>
  <si>
    <t>ΧΥΤΑ</t>
  </si>
  <si>
    <t>ΚΟΡΙΤΣΑ</t>
  </si>
  <si>
    <t>ΨΥΛΛΑΚΗ</t>
  </si>
  <si>
    <t>ΒΛΑΣΙΟΣ</t>
  </si>
  <si>
    <t>ΜΠΕΡΔΕΝΗ</t>
  </si>
  <si>
    <t>ΝΙΚΟΛΙΤΣΑ</t>
  </si>
  <si>
    <t>ΚΑΡΑΓΚΟΥΝΗ</t>
  </si>
  <si>
    <t>ΑΘΗΝΑ</t>
  </si>
  <si>
    <t>ΜΠΟΥΖΟΥΚΗΣ</t>
  </si>
  <si>
    <t>ΚΛΕΑΝΘΗΣ</t>
  </si>
  <si>
    <t>ΚΟΚΚΑΛΙΔΟΥ</t>
  </si>
  <si>
    <t>ΞΕΝΟΦΩΝ</t>
  </si>
  <si>
    <t>ΧΑΤΖΗΙΩΑΝΝΙΔΟΥ</t>
  </si>
  <si>
    <t>ΠΕΓΙΟΥ</t>
  </si>
  <si>
    <t>ΜΑΡΓΑΡΙΤΑ</t>
  </si>
  <si>
    <t>ΕΥΡΙΠΙΔΗΣ</t>
  </si>
  <si>
    <t>ΣΙΩΖΙΟΥ</t>
  </si>
  <si>
    <t>ΕΥΘΥΜΙΑ</t>
  </si>
  <si>
    <t>ΣΤΕΡΓΙΟΣ</t>
  </si>
  <si>
    <t>ΓΡΙΤΣΟΠΟΥΛΟΥ</t>
  </si>
  <si>
    <t>ΚΟΥΤΣΟΥΡΕΛΑΚΗ</t>
  </si>
  <si>
    <t>ΔΕΣΠΟΙΝΑ</t>
  </si>
  <si>
    <t>ΚΟΥΚΟΥΛΑ</t>
  </si>
  <si>
    <t>ΘΕΟΔΩΡΑΚΗ</t>
  </si>
  <si>
    <t>ΜΑΡΚΟΥΛΑΚΗΣ</t>
  </si>
  <si>
    <t>ΤΑΡΑΠΕΡΑΣ</t>
  </si>
  <si>
    <t>ΦΩΤΟΠΟΥΛΟΣ</t>
  </si>
  <si>
    <t>ΠΑΠΑΔΟΓΙΑΝΝΗ</t>
  </si>
  <si>
    <t>ΧΡΙΣΤΙΝΑ</t>
  </si>
  <si>
    <t>ΜΑΚΡΗ</t>
  </si>
  <si>
    <t>ΚΑΛΛΙΟΠΗ</t>
  </si>
  <si>
    <t>ΕΥΓΕΝΙΟΣ</t>
  </si>
  <si>
    <t>ΤΣΑΚΙΡΗΣ</t>
  </si>
  <si>
    <t>ΓΡΗΓΟΡΙΟΣ</t>
  </si>
  <si>
    <t>ΚΟΚΚΙΝΗ</t>
  </si>
  <si>
    <t>ΑΠΟΣΤΟΛΙΑ</t>
  </si>
  <si>
    <t>ΜΠΑΝΙΑ</t>
  </si>
  <si>
    <t>ΣΟΦΙΑΝΙΔΟΥ</t>
  </si>
  <si>
    <t>ΕΜΠΛΙΟΥΚ</t>
  </si>
  <si>
    <t>ΙΣΜΑΗΛ</t>
  </si>
  <si>
    <t>ΙΜΠΡΑΧΗΜ</t>
  </si>
  <si>
    <t>ΑΠΟΣΤΟΛΟΠΟΥΛΟΥ</t>
  </si>
  <si>
    <t>ΤΣΙΜΠΕΡΙΔΟΥ</t>
  </si>
  <si>
    <t>ΓΕΩΡΓΑΚΟΠΟΥΛΟΥ</t>
  </si>
  <si>
    <t>ΡΑΧΩΝΗ</t>
  </si>
  <si>
    <t>ΕΛΙΣΣΑΒΕΤ</t>
  </si>
  <si>
    <t>ΣΤΑΘΗ</t>
  </si>
  <si>
    <t>ΛΑΜΠΑΔΑΡΗ</t>
  </si>
  <si>
    <t>ΙΟΥΛΙΑ</t>
  </si>
  <si>
    <t>ΕΛΕΥΘΕΡΙΟΣ</t>
  </si>
  <si>
    <t>ΠΑΝΤΕΛΙΑΔΟΥ</t>
  </si>
  <si>
    <t>ΠΑΠΑΝΙΚΟΛΑΟΥ</t>
  </si>
  <si>
    <t>ΓΚΟΥΝΕΛΑ</t>
  </si>
  <si>
    <t>ΤΗΛΚΕΡΙΔΟΥ</t>
  </si>
  <si>
    <t>ΕΛΠΙΔΑ</t>
  </si>
  <si>
    <t>ΧΑΡΙΛΑΟΣ</t>
  </si>
  <si>
    <t>ΜΑΡΙΝΑΚΟΥ</t>
  </si>
  <si>
    <t>ΜΑΡΗ</t>
  </si>
  <si>
    <t>ΜΠΟΥΣΜΠΟΥΡΕΛΗ</t>
  </si>
  <si>
    <t>ΠΕΤΡΟΥΛΑ</t>
  </si>
  <si>
    <t>ΑΚΡΙΒΟΠΟΥΛΟΥ</t>
  </si>
  <si>
    <t>ΒΑΙΑ</t>
  </si>
  <si>
    <t>ΠΡΙΝΑΡΑΚΗ</t>
  </si>
  <si>
    <t>ΑΝΔΡΟΒΙΤΣΑΝΕΑ</t>
  </si>
  <si>
    <t>ΛΥΜΠΕΡΟΠΟΥΛΟΣ</t>
  </si>
  <si>
    <t>ΕΥΓΕΝΙΑ</t>
  </si>
  <si>
    <t>ΕΠΑΜΕΙΝΩΝΔΑΣ</t>
  </si>
  <si>
    <t>ΑΥΓΟΛΟΥΠΗΣ</t>
  </si>
  <si>
    <t>ΠΑΠΑΣΤΕΡΓΙΟΥ</t>
  </si>
  <si>
    <t>ΚΑΡΤΣΑΚΛΗ</t>
  </si>
  <si>
    <t>ΠΑΠΑΔΗΜΗΤΡΙΟΥ</t>
  </si>
  <si>
    <t>ΠΗΓΙΑΚΗ</t>
  </si>
  <si>
    <t>ΑΙΜΙΛΙΟΣ</t>
  </si>
  <si>
    <t>ΑΝΑΓΝΩΣΤΟΠΟΥΛΟΥ</t>
  </si>
  <si>
    <t>ΠΟΛΥΤΙΜΗ ΜΑΡΙΑ</t>
  </si>
  <si>
    <t>ΓΑΝΕΜ</t>
  </si>
  <si>
    <t>ΜΑΡΙΑΜ</t>
  </si>
  <si>
    <t>ΜΩΧΑΜΕΝΤ</t>
  </si>
  <si>
    <t>ΜΑΜΟΥΡΗ</t>
  </si>
  <si>
    <t>ΕΥΑΓΓΕΛΗ</t>
  </si>
  <si>
    <t>ΠΛΙΤΣΗ</t>
  </si>
  <si>
    <t>ΦΛΟΓΕΡΑΣ</t>
  </si>
  <si>
    <t>ΜΕΓΑ</t>
  </si>
  <si>
    <t>ΣΑΡΒΑΝΗ</t>
  </si>
  <si>
    <t>ΚΥΠΡΙΩΤΗ</t>
  </si>
  <si>
    <t>ΜΑΙΡΗ</t>
  </si>
  <si>
    <t>ΤΙΜΟΛΕΩΝ</t>
  </si>
  <si>
    <t>ΕΛΕΥΘΕΡΙΑΔΗΣ</t>
  </si>
  <si>
    <t>ΓΕΩΡΓΙΟΣ-ΒΑΣΙΛΕΙΟΣ</t>
  </si>
  <si>
    <t>ΚΑΤΣΑΡΟΣ</t>
  </si>
  <si>
    <t>ΔΕΛΗΧΑ</t>
  </si>
  <si>
    <t>ΠΑΥΛΟΠΟΥΛΟΥ</t>
  </si>
  <si>
    <t>ΣΑΡΑΤΖΗΣ</t>
  </si>
  <si>
    <t>ΘΕΟΔΩΡΙΔΟΥ</t>
  </si>
  <si>
    <t>ΣΤΕΦΑΝΑΚΗ</t>
  </si>
  <si>
    <t>ΑΝΤ</t>
  </si>
  <si>
    <t>ΚΛΑΔΑΚΗ</t>
  </si>
  <si>
    <t>ΑΜΑΛΙΑ</t>
  </si>
  <si>
    <t>ΜΠΕΣΣΑΣ</t>
  </si>
  <si>
    <t>ΝΙΚΟΛΑΟΥ</t>
  </si>
  <si>
    <t>ΕΥΑΓΓΕΛΙΑ</t>
  </si>
  <si>
    <t>ΔΟΝΑΤΟΣ</t>
  </si>
  <si>
    <t>ΠΑΣΧΑΛΗ</t>
  </si>
  <si>
    <t>ΚΑΛΑΣΟΥΝΤΑ</t>
  </si>
  <si>
    <t>ΒΑΘΡΑΚΟΥΛΗΣ</t>
  </si>
  <si>
    <t>ΜΑΛΛΙΑΡΟΥ</t>
  </si>
  <si>
    <t>ΣΤΡΑΤΙΔΑΚΗ</t>
  </si>
  <si>
    <t>ΤΣΙΓΓΟΥΝΗΣ</t>
  </si>
  <si>
    <t>ΚΟΥΤΣΙΑΝΟΥ</t>
  </si>
  <si>
    <t>ΓΚΑΙΤΑΤΖΗ</t>
  </si>
  <si>
    <t>ΞΑΝΘΙΠΠΗ</t>
  </si>
  <si>
    <t>ΑΣΗΜΑΚΟΠΟΥΛΟΥ</t>
  </si>
  <si>
    <t>ΧΑΡΙΚΛΕΙΑ</t>
  </si>
  <si>
    <t>ΧΑΤΖΗΓΙΑΝΝΗ</t>
  </si>
  <si>
    <t>ΛΥΚΑΚΗ</t>
  </si>
  <si>
    <t>ΚΑΛΥΒΑ</t>
  </si>
  <si>
    <t>ΔΗΜΗΤΡΑΚΕΛΛΟΥ</t>
  </si>
  <si>
    <t>ΠΑΠΑΣΤΑΜΟΥ</t>
  </si>
  <si>
    <t>ΓΚΙΝΑ</t>
  </si>
  <si>
    <t>ΔΙΟΝΥΣΙΑ</t>
  </si>
  <si>
    <t>ΡΟΥΣΣΟΥ</t>
  </si>
  <si>
    <t>ΣΤΑΘΟΠΟΥΛΟΥ-ΣΤΑΙΚΟΥ</t>
  </si>
  <si>
    <t>ΧΡΙΣΤΟΓΙΑΝΝΗ</t>
  </si>
  <si>
    <t>ΦΩΤΙΟΣ</t>
  </si>
  <si>
    <t>ΧΑΤΖΗΣΤΟΥΓΙΑΝΝΗ</t>
  </si>
  <si>
    <t>ΧΑΡΙΣΙΟΣ</t>
  </si>
  <si>
    <t>ΠΑΠΠΑ</t>
  </si>
  <si>
    <t>ΕΥΣΤΡΑΤΙΟΣ</t>
  </si>
  <si>
    <t>ΓΡΗΓΟΡΑΚΟΥ</t>
  </si>
  <si>
    <t>ΡΑΛΛΗ</t>
  </si>
  <si>
    <t>ΟΛΥΜΠΙΑ</t>
  </si>
  <si>
    <t>ΒΑΛΑΚΟΥ</t>
  </si>
  <si>
    <t>ΒΑΡΒΑΡΑ</t>
  </si>
  <si>
    <t>ΜΠΑΣΙΟΥΚΑ ΠΟΛΥΧΡΟΝΙΑΔΟΥ</t>
  </si>
  <si>
    <t>ΣΑΜΑΡΑ</t>
  </si>
  <si>
    <t>ΣΟΥΛΤΑΝΑ</t>
  </si>
  <si>
    <t>ΕΥΘΑΛΙΑ</t>
  </si>
  <si>
    <t>ΧΑΙΔΟΥ</t>
  </si>
  <si>
    <t>ΔΗΜΗΤΡΟΥΛΑ</t>
  </si>
  <si>
    <t>ΠΑΝΑΓΙΩΤΟΠΟΥΛΟΥ</t>
  </si>
  <si>
    <t>ΖΟΥΜΠΟΥ</t>
  </si>
  <si>
    <t>ΠΟΝΤΙΚΗ</t>
  </si>
  <si>
    <t>ΜΑΡΙΑΝΑ</t>
  </si>
  <si>
    <t>ΕΛΕΥΘΕΡΙΟΥ</t>
  </si>
  <si>
    <t>ΒΑΙΟΣ</t>
  </si>
  <si>
    <t>ΣΤΕΦΑΝΙΔΟΥ</t>
  </si>
  <si>
    <t>ΨΙΜΟΠΟΥΛΟΥ</t>
  </si>
  <si>
    <t>ΜΠΡΕΝΤΑ</t>
  </si>
  <si>
    <t>ΠΑΝΑΓΙΩΤΑΚΟΠΟΥΛΟΥ</t>
  </si>
  <si>
    <t>ΠΟΠΩΒΙΔΟΥ</t>
  </si>
  <si>
    <t>ΕΛΙΝΑ</t>
  </si>
  <si>
    <t>ΤΑΜΑΖΙ</t>
  </si>
  <si>
    <t>ΡΙΖΟΠΟΥΛΟΥ</t>
  </si>
  <si>
    <t>ΔΗΜΗΤΡΑΚΟΠΟΥΛΟΣ</t>
  </si>
  <si>
    <t>ΓΚΟΥΜΑΣ</t>
  </si>
  <si>
    <t>ΣΟΥΡΒΟΥ</t>
  </si>
  <si>
    <t>ΤΣΑΤΣΑΝΗ</t>
  </si>
  <si>
    <t>ΙΡΤΖΑΝΛΗ</t>
  </si>
  <si>
    <t>ΝΙΧΑΤ</t>
  </si>
  <si>
    <t>ΧΟΥΣΕΙΝ</t>
  </si>
  <si>
    <t>ΚΟΛΙΑ</t>
  </si>
  <si>
    <t>ΙΣΙΔΩΡΑ ΑΓΓΕΛΙΚΗ</t>
  </si>
  <si>
    <t>ΜΠΟΥΚΗ</t>
  </si>
  <si>
    <t>ΑΛΕΞΑΝΔΡΑ</t>
  </si>
  <si>
    <t>ΤΡΙΑΝΤΑΦΥΛΛΟΥ</t>
  </si>
  <si>
    <t>ΣΤΑΜΑΤΙΟΣ</t>
  </si>
  <si>
    <t>ΜΕΘΕΝΙΤΗ</t>
  </si>
  <si>
    <t>ΠΡΑΚΑΤΕΣ</t>
  </si>
  <si>
    <t>ΚΙΚΑΚΗ</t>
  </si>
  <si>
    <t>ΒΟΥΤΖΗ</t>
  </si>
  <si>
    <t>ΜΥΡΤΩ</t>
  </si>
  <si>
    <t>ΖΩΗ</t>
  </si>
  <si>
    <t>ΑΡΓΥΡΙΟΣ</t>
  </si>
  <si>
    <t>ΠΟΥΛΟΠΟΥΛΟΣ</t>
  </si>
  <si>
    <t>ΣΑΡΑΝΤΟΣ</t>
  </si>
  <si>
    <t>ΑΛΕΞΙΑΔΟΥ</t>
  </si>
  <si>
    <t>ΟΛΓΑ ΕΛΕΝΗ</t>
  </si>
  <si>
    <t>ΑΛΕΚΟΣ</t>
  </si>
  <si>
    <t>ΤΟΥΡΤΟΥΡΑΣ</t>
  </si>
  <si>
    <t>ΣΑΚΚΑΛΗ</t>
  </si>
  <si>
    <t>ΧΑΡΙΛΑΣΟΣ</t>
  </si>
  <si>
    <t>ΧΑΤΖΗΛΥΓΕΡΟΥΔΗ</t>
  </si>
  <si>
    <t>ΠΑΖΑΡΑ</t>
  </si>
  <si>
    <t>ΠΑΤΤΑ</t>
  </si>
  <si>
    <t>ΣΚΕΝΔΡΟΥ</t>
  </si>
  <si>
    <t>ΕΛΛΗ</t>
  </si>
  <si>
    <t>ΠΑΠΑΘΑΝΑΣΙΟΥ</t>
  </si>
  <si>
    <t>ΚΟΤΙΝΗ</t>
  </si>
  <si>
    <t>ΔΗΜΟΠΟΥΛΟΥ</t>
  </si>
  <si>
    <t>ΤΑΡΑΣΗ</t>
  </si>
  <si>
    <t>ΚΑΖΑΝΤΖΙΔΟΥ</t>
  </si>
  <si>
    <t>ΚΑΡΑΝΤΖΙΑ</t>
  </si>
  <si>
    <t>ΓΑΛΑΤΕΙΑ</t>
  </si>
  <si>
    <t>ΓΚΑΡΟΥΤΣΟΥ</t>
  </si>
  <si>
    <t>ΜΟΝΤΕΣΑΝΤΟΥ</t>
  </si>
  <si>
    <t>ΚΩΝΣΤΑΝΤΙΝΟΣ ΔΙΟΝΥΣΙ</t>
  </si>
  <si>
    <t>ΓΚΑΒΑΛΕΚΑΣ</t>
  </si>
  <si>
    <t>ΠΑΠΑΝΑΣΤΑΣΙΟΥ</t>
  </si>
  <si>
    <t>ΚΟΥΤΣΕΛΙΝΗ</t>
  </si>
  <si>
    <t>ΒΕΑΤΡΙΚΗ</t>
  </si>
  <si>
    <t>ΔΑΒΛΑΝΤΗ</t>
  </si>
  <si>
    <t>ΜΕΣΗΜΕΡΗ</t>
  </si>
  <si>
    <t>ΕΥΛΑΜΠΙΑ</t>
  </si>
  <si>
    <t>ΣΠΥΡΙΔΑΚΗ</t>
  </si>
  <si>
    <t>ΕΛΕΥΘΕΡΙΑ-ΕΙΡΗΝΗ</t>
  </si>
  <si>
    <t>ΑΔΑΜΙΔΗΣ</t>
  </si>
  <si>
    <t>ΣΑΜΑΡΗ</t>
  </si>
  <si>
    <t>ΔΑΒΒΕΤΑ</t>
  </si>
  <si>
    <t xml:space="preserve">ΓΕΩΡΓΙΑ </t>
  </si>
  <si>
    <t>ΚΑΛΟΓΗΡΟΥ</t>
  </si>
  <si>
    <t>ΧΑΡΑΛΑΜΠΑΚΗ</t>
  </si>
  <si>
    <t>ΜΟΥΜΚΑ</t>
  </si>
  <si>
    <t>ΠΑΝΤΕΛΙΑ</t>
  </si>
  <si>
    <t>ΚΑΡΑΚΟΛΗ</t>
  </si>
  <si>
    <t>ΜΠΑΓΛΑΝΗΣ</t>
  </si>
  <si>
    <t>ΚΟΥΡΣΑΡΗ</t>
  </si>
  <si>
    <t>ΕΥΤΥΧΙΑ</t>
  </si>
  <si>
    <t>ΛΑΖΟΓΙΑΝΝΗΣ</t>
  </si>
  <si>
    <t>ΤΖΑΝΝΙΝΗ</t>
  </si>
  <si>
    <t>ΒΑΣΙΛΙΚΗ ΧΕΛΙΔΟΝΑ</t>
  </si>
  <si>
    <t>ΚΑΦΡΙΤΣΑ</t>
  </si>
  <si>
    <t>ΔΗΜΗΤΡΗΣ</t>
  </si>
  <si>
    <t>ΣΤΥΛΙΔΗΣ</t>
  </si>
  <si>
    <t>ΓΚΑΝΑΚΗ</t>
  </si>
  <si>
    <t>ΚΩΝΣΤΑΝΤΙΝΑ-ΕΙΡΗΝΗ</t>
  </si>
  <si>
    <t>ΚΟΣΜΙΔΟΥ</t>
  </si>
  <si>
    <t>ΜΠΕΛΛΟΣ</t>
  </si>
  <si>
    <t>ΓΙΑΤΡΟΜΑΝΩΛΑΚΗ</t>
  </si>
  <si>
    <t>ΜΠΟΥΤΣΙΑΔΟΥ</t>
  </si>
  <si>
    <t>ΚΑΤΕΡΙΝΑ</t>
  </si>
  <si>
    <t>ΜΟΥΖΑ</t>
  </si>
  <si>
    <t>ΚΑΛΚΟΠΟΥΛΟΥ</t>
  </si>
  <si>
    <t>ΚΟΡΝΗΛΙΑ</t>
  </si>
  <si>
    <t>ΑΓΑΜΕΜΝΩΝ</t>
  </si>
  <si>
    <t>ΚΑΦΟΥΤΗΣ</t>
  </si>
  <si>
    <t>ΓΕΩΡΓΙΟΣ-ΧΑΡΑΛΑΜΠΟΣ</t>
  </si>
  <si>
    <t>ΑΠΟΣΤΟΛΑΚΗΣ</t>
  </si>
  <si>
    <t>ΜΑΡΙΟΣ</t>
  </si>
  <si>
    <t>ΗΡΑΚΛΕΙΔΗ</t>
  </si>
  <si>
    <t>ΦΑΙΔΡΑ ΑΡΓΥΡ</t>
  </si>
  <si>
    <t>ΔΗΜΑΣ</t>
  </si>
  <si>
    <t>ΚΑΡΑΜΑΛΗ</t>
  </si>
  <si>
    <t>ΠΛΟΥΜΙΔΗ</t>
  </si>
  <si>
    <t>ΧΑΓΙΟΥ</t>
  </si>
  <si>
    <t>ΒΛΑΧΑ</t>
  </si>
  <si>
    <t>ΔΗΜΟΣΘΕΝΗΣ</t>
  </si>
  <si>
    <t>ΧΡΥΣΑΝΘΟΠΟΥΛΟΥ</t>
  </si>
  <si>
    <t>ΠΑΡΘΕΝΟΠΗ</t>
  </si>
  <si>
    <t>ΝΤΗΛΙΑ</t>
  </si>
  <si>
    <t>ΟΛΓΑ</t>
  </si>
  <si>
    <t>ΧΑΤΖΟΠΟΥΛΟΥ</t>
  </si>
  <si>
    <t>ΣΑΡΟΓΛΟΥ</t>
  </si>
  <si>
    <t>ΙΑΚΩΒΙΔΟΥ</t>
  </si>
  <si>
    <t>ΚΑΚΑΒΑ</t>
  </si>
  <si>
    <t>ΖΑΧΑΡΟΠΟΥΛΟΥ</t>
  </si>
  <si>
    <t>ΣΤΑΘΗΣ</t>
  </si>
  <si>
    <t>ΦΟΥΝΤΟΥΛΑΚΗ</t>
  </si>
  <si>
    <t>ΤΡΥΠΑΝΑΓΝΩΣΤΟΠΟΥΛΟΥ</t>
  </si>
  <si>
    <t>ΘΕΟΔΟΣΙΑΔΗΣ</t>
  </si>
  <si>
    <t>ΠΑΡΑΣΚΕΥΑΣ</t>
  </si>
  <si>
    <t>ΑΝΔΡΙΚΟΠΟΥΛΟΥ</t>
  </si>
  <si>
    <t>ΛΟΥΙΖΑ</t>
  </si>
  <si>
    <t>ΖΑΦΕΙΡΙΟΣ</t>
  </si>
  <si>
    <t>ΠΑΠΑΔΟΠΟΥΛΟΣ</t>
  </si>
  <si>
    <t>ΦΙΛΟΥ</t>
  </si>
  <si>
    <t>ΛΑΚΑΚΗΣ</t>
  </si>
  <si>
    <t>ΑΣΠΙΩΤΗ</t>
  </si>
  <si>
    <t>ΚΑΜΠΙΤΗΣ</t>
  </si>
  <si>
    <t>ΓΟΥΝΑΡΙΔΟΥ</t>
  </si>
  <si>
    <t>ΤΖΩΡΤΖΗ</t>
  </si>
  <si>
    <t>ΣΠΥΡΙΔΟΥΛΑ</t>
  </si>
  <si>
    <t>ΦΟΥΝΤΩΤΟΥ</t>
  </si>
  <si>
    <t>ΖΑΧΑΡΙΑΣ</t>
  </si>
  <si>
    <t>ΒΑΜΒΟΥΚΑ</t>
  </si>
  <si>
    <t>ΚΑΤΣΑΒΕΛΗ</t>
  </si>
  <si>
    <t>ΔΡΟΣΟΣ</t>
  </si>
  <si>
    <t>ΧΟΥΔΑΛΑΚΗ</t>
  </si>
  <si>
    <t>ΑΝΝΗ</t>
  </si>
  <si>
    <t>ΠΕΡΔΙΚΟΥΛΗΣ</t>
  </si>
  <si>
    <t>ΚΑΨΙΜΑΛΛΗΣ</t>
  </si>
  <si>
    <t>ΑΘΑΝΑΣΙΟΣ ΑΝΑΣΤΑΣΙΟΣ</t>
  </si>
  <si>
    <t>ΖΑΦΕΙΡΗΣ</t>
  </si>
  <si>
    <t>ΛΩΛΟΥ</t>
  </si>
  <si>
    <t>ΓΑΒΡΑ</t>
  </si>
  <si>
    <t>ΣΕΛΑΛΜΑΤΖΙΔΗΣ</t>
  </si>
  <si>
    <t>ΤΡΙΒΗΛΟΥ</t>
  </si>
  <si>
    <t>ΚΑΠΠΑ</t>
  </si>
  <si>
    <t>ΑΡΣΙΝΟΗ</t>
  </si>
  <si>
    <t>ΔΑΝΗΛΟΠΟΥΛΟΥ</t>
  </si>
  <si>
    <t>ΔΑΗΣ</t>
  </si>
  <si>
    <t>ΜΟΥΖΟΥΛΑΣ</t>
  </si>
  <si>
    <t>ΒΑΡΔΟΠΟΥΛΟΣ</t>
  </si>
  <si>
    <t>ΓΕΩΡΓΟΥΛΙΑ</t>
  </si>
  <si>
    <t>ΜΙΡΤΣΟΠΟΥΛΟΥ</t>
  </si>
  <si>
    <t>ΦΡΑΓΚΟΥΛΙΔΟΥ</t>
  </si>
  <si>
    <t>ΑΛΕΞΑΝΔΡΗ</t>
  </si>
  <si>
    <t>ΒΕΝΕΤΙΑ</t>
  </si>
  <si>
    <t>ΦΩΤΑΚΗ</t>
  </si>
  <si>
    <t>ΑΙΜΙΛΙΑ</t>
  </si>
  <si>
    <t>ΝΑΝΟΥ</t>
  </si>
  <si>
    <t>ΡΙΖΑΚΗΣ</t>
  </si>
  <si>
    <t>ΤΖΕΦΡΩΝΗΣ</t>
  </si>
  <si>
    <t>ΖΩΤΑΛΗ</t>
  </si>
  <si>
    <t>ΤΕΡΖΗ</t>
  </si>
  <si>
    <t>ΜΑΡΙΑΝΘΗ-ΜΑΡΙΑΝΝΑ</t>
  </si>
  <si>
    <t>ΚΥΠΙΡΤΙΔΟΥ</t>
  </si>
  <si>
    <t>ΠΑΤΛΑΚΗΣ</t>
  </si>
  <si>
    <t>ΚΡΟΝΗΣ</t>
  </si>
  <si>
    <t>ΚΟΚΚΟΡΗΣ</t>
  </si>
  <si>
    <t>ΘΑΝΑΣΗΣ</t>
  </si>
  <si>
    <t>ΛΑΓΟΥ</t>
  </si>
  <si>
    <t>ΓΕΡΟΓΙΑΝΝΗΣ</t>
  </si>
  <si>
    <t>ΤΣΙΑΚΙΡΙΔΟΥ</t>
  </si>
  <si>
    <t>ΦΙΛΙΠΠΟΣ</t>
  </si>
  <si>
    <t>ΧΡΥΣΟΠΟΛΙΤΗ</t>
  </si>
  <si>
    <t>ΤΣΑΚΙΡΙΔΟΥ</t>
  </si>
  <si>
    <t>ΠΑΝΔΗ</t>
  </si>
  <si>
    <t>ΣΚΛΗΒΑ</t>
  </si>
  <si>
    <t>ΚΟΚΚΩΝΗ</t>
  </si>
  <si>
    <t>ΚΥΡΚΟΥ</t>
  </si>
  <si>
    <t>ΒΙΚΤΩΡΙΑ</t>
  </si>
  <si>
    <t>ΚΟΥΤΟΥΡΑ</t>
  </si>
  <si>
    <t>ΧΑΤΖΗΣΤΑΥΡΟΣ</t>
  </si>
  <si>
    <t>ΒΟΥΛΓΑΡΙΔΟΥ</t>
  </si>
  <si>
    <t>ΜΕΝΔΩΝΙΔΗΣ</t>
  </si>
  <si>
    <t>ΜΑΡΙΝΟΥ</t>
  </si>
  <si>
    <t>ΧΑΤΖΗΑΓΟΡΟΥ</t>
  </si>
  <si>
    <t>ΤΗΛΕΜΑΧΟΣ</t>
  </si>
  <si>
    <t>ΛΕΙΒΑΔΑΡΑ</t>
  </si>
  <si>
    <t>ΜΙΧΑΕΛΑ</t>
  </si>
  <si>
    <t>ΜΑΡΚΟΠΟΥΛΟΥ</t>
  </si>
  <si>
    <t>ΚΑΛΟΓΕΡΟΠΟΥΛΟΣ</t>
  </si>
  <si>
    <t>ΚΛΕΟΜΕΝΗΣ</t>
  </si>
  <si>
    <t>ΔΡΟΥΛΙΑ</t>
  </si>
  <si>
    <t>ΚΑΣΣΙΑΝΗ</t>
  </si>
  <si>
    <t>ΤΣΕΚΟΥΡΑ</t>
  </si>
  <si>
    <t>ΤΖΙΚΑΝΟΥΛΑ</t>
  </si>
  <si>
    <t>ΣΤΑΜΑΤΙΑ</t>
  </si>
  <si>
    <t>ΠΑΠΑΚΩΝΣΤΑΝΤΙΝΟΠΟΥΛΟΣ</t>
  </si>
  <si>
    <t>ΑΡΜΟΥΤΙΔΗΣ</t>
  </si>
  <si>
    <t>ΚΟΝΣΟΥΛΑ</t>
  </si>
  <si>
    <t>ΑΘΑΝΑΣΙΑ</t>
  </si>
  <si>
    <t>ΔΕΔΕ</t>
  </si>
  <si>
    <t>ΟΙΚΟΝΟΜΟΠΟΥΛΟΥ</t>
  </si>
  <si>
    <t>ΣΑΡΑΤΣΙΩΤΗ</t>
  </si>
  <si>
    <t>ΞΕΝΙΑ</t>
  </si>
  <si>
    <t>ΦΩΤΙΟΥ</t>
  </si>
  <si>
    <t>ΑΡΑΜΠΑΤΖΗΣ</t>
  </si>
  <si>
    <t>ΣΟΦΟΚΛΗΣ</t>
  </si>
  <si>
    <t>ΠΑΠΑΡΙΖΟΥ</t>
  </si>
  <si>
    <t>ΧΑΙΔΩ</t>
  </si>
  <si>
    <t>ΤΣΑΟΥΣΗ</t>
  </si>
  <si>
    <t>ΧΡΥΣΟΣΤΟΜΙΔΟΥ</t>
  </si>
  <si>
    <t>ΒΡΟΤΣΟΥ</t>
  </si>
  <si>
    <t>ΜΑΡΙΕΤΤΑ</t>
  </si>
  <si>
    <t>ΤΑΤΣΑΚΗ</t>
  </si>
  <si>
    <t>ΣΚΑΡΟΓΛΟΥ</t>
  </si>
  <si>
    <t>ΚΟΚΙΟΠΟΥΛΟΥ</t>
  </si>
  <si>
    <t>ΚΑΛΛΟΥ</t>
  </si>
  <si>
    <t>ΡΑΜΜΟΣ</t>
  </si>
  <si>
    <t>ΔΑΔΑΛΑ</t>
  </si>
  <si>
    <t>ΑΝΑΣΤΑΣΙΟΥ</t>
  </si>
  <si>
    <t>ΜΑΛΙΓΚΟΥΔΗ</t>
  </si>
  <si>
    <t>ΜΕΡΟΠΗ</t>
  </si>
  <si>
    <t>ΓΕΩΡΓΙΑΔΟΥ</t>
  </si>
  <si>
    <t>ΣΠΑΡΤΑΛΗΣ</t>
  </si>
  <si>
    <t>ΙΩΣΗΦ-ΜΟΣΧΟΣ</t>
  </si>
  <si>
    <t>ΚΩΝΗ</t>
  </si>
  <si>
    <t>ΧΑΤΖΟΠΟΥΛΟΣ</t>
  </si>
  <si>
    <t>ΒΕΡΡΟΙΟΥ</t>
  </si>
  <si>
    <t>ΝΟΥΣΗΛΑΖΟΥ</t>
  </si>
  <si>
    <t>ΣΩΚΡΑΤΗΣ</t>
  </si>
  <si>
    <t>ΣΤΕΦΑΝΟΥ</t>
  </si>
  <si>
    <t>ΑΓΑΠΗΤΟΣ</t>
  </si>
  <si>
    <t>ΤΣΙΑΛΤΑ</t>
  </si>
  <si>
    <t>ΚΟΥΚΟΥΡΛΗ</t>
  </si>
  <si>
    <t>ΔΟΥΚΕΡΗ</t>
  </si>
  <si>
    <t>ΜΑΡΙΑ ΕΛΕΝΗ</t>
  </si>
  <si>
    <t>ΤΣΑΜΠΑΛΗ</t>
  </si>
  <si>
    <t>ΜΑΡΓΑΡΙΤΗ</t>
  </si>
  <si>
    <t>ΠΟΛΥΔΕΡΑ</t>
  </si>
  <si>
    <t>ΑΓΓΕΛΗΣ</t>
  </si>
  <si>
    <t>ΔΗΜΗΤΡΟΠΟΥΛΟΣ</t>
  </si>
  <si>
    <t>ΚΡΟΜΜΥΔΑ</t>
  </si>
  <si>
    <t>ΜΠΙΚΑΚΗΣ</t>
  </si>
  <si>
    <t>ΤΑΥΛΑΚΗ</t>
  </si>
  <si>
    <t>ΧΡΥΣΑΝΘΗ</t>
  </si>
  <si>
    <t>ΑΝΑΣΤΑΣΙΑΔΟΥ</t>
  </si>
  <si>
    <t>ΠΑΝΤΕΛΕΗΜΩΝ</t>
  </si>
  <si>
    <t>ΓΑΛΗΝΑΚΗ</t>
  </si>
  <si>
    <t>ΑΙΚΑΤΕΡΙΝΗ-ΜΑΡΙΑ</t>
  </si>
  <si>
    <t>ΤΣΙΠΟΥΡΑ</t>
  </si>
  <si>
    <t>ΚΑΡΑΔΗΜΑ</t>
  </si>
  <si>
    <t>ΑΙΚΑΤ</t>
  </si>
  <si>
    <t>ΓΑΛΑΖΙΟΥ</t>
  </si>
  <si>
    <t>ΚΑΡΟΖΟΥ</t>
  </si>
  <si>
    <t>ΑΣΠΑΣΙΑ</t>
  </si>
  <si>
    <t>ΔΑΛΑΚΟΥΡΑ</t>
  </si>
  <si>
    <t>ΤΣΙΝΤΩΝΗ</t>
  </si>
  <si>
    <t>ΗΛΙΑΝΑ</t>
  </si>
  <si>
    <t>ΠΑΠΑΓΟΡΑ</t>
  </si>
  <si>
    <t>ΤΑΤΙΑΝΗ</t>
  </si>
  <si>
    <t>ΔΟΥΤΣΟΥ</t>
  </si>
  <si>
    <t>ΓΚΑΤΖΙΟΥΡΑ</t>
  </si>
  <si>
    <t>ΑΡΓΥΡΩ</t>
  </si>
  <si>
    <t>ΤΣΑΛΙΑ</t>
  </si>
  <si>
    <t>ΡΟΥΝΤΙΝΑ</t>
  </si>
  <si>
    <t>ΓΙΩΡΓΗ</t>
  </si>
  <si>
    <t>ΑΘΑΝΑΣΟΠΟΥΛΟΥ</t>
  </si>
  <si>
    <t>ΚΑΡΑΣΟ</t>
  </si>
  <si>
    <t>ΙΑΚΩΒΟΣ</t>
  </si>
  <si>
    <t>ΖΙΩΓΑΣ</t>
  </si>
  <si>
    <t>ΡΑΦΤΗ</t>
  </si>
  <si>
    <t>ΣΦΗΚΑΣ</t>
  </si>
  <si>
    <t>ΣΤΑΜΑΤΗ</t>
  </si>
  <si>
    <t>ΜΠΙΛΛΗΣ</t>
  </si>
  <si>
    <t>ΚΑΡΑΝΤΖΑΣ</t>
  </si>
  <si>
    <t>ΒΕΡΓΟΥ</t>
  </si>
  <si>
    <t>ΘΕΟΔΟΤΗ</t>
  </si>
  <si>
    <t>ΜΙΧΑΗΛΙΔΗΣ</t>
  </si>
  <si>
    <t>ΠΟΛΥΧΡΟΝΙΟΣ</t>
  </si>
  <si>
    <t>ΖΟΥΡΝΑΤΖΙΔΟΥ</t>
  </si>
  <si>
    <t>ΑΝΑΤΟΛΗ</t>
  </si>
  <si>
    <t>ΑΝΑΓΝΩΣΤΟΥ</t>
  </si>
  <si>
    <t>ΟΥΡΑΝΟΣ</t>
  </si>
  <si>
    <t>ΣΤΕΡΓΙΟΥΛΗ</t>
  </si>
  <si>
    <t>ΚΑΡΑΔΙΑΚΟΣ</t>
  </si>
  <si>
    <t>ΜΠΟΝΑΣ</t>
  </si>
  <si>
    <t>ΜΑΥΡΟΥΔΗΣ</t>
  </si>
  <si>
    <t>ΘΕΟΦΙΛΟΣ</t>
  </si>
  <si>
    <t>ΣΑΒΒΑΣ</t>
  </si>
  <si>
    <t>ΜΠΑΜΠΑΤΣΙΚΟΥ</t>
  </si>
  <si>
    <t>ΜΙΛΤΙΑΔΗΣ</t>
  </si>
  <si>
    <t>ΧΡΙΣΤΟΔΟΥΛΟΥ</t>
  </si>
  <si>
    <t>ΘΩΜΑΙΔΟΥ</t>
  </si>
  <si>
    <t>ΜΑΡΙΚΑ</t>
  </si>
  <si>
    <t>ΜΠΑΔΙΝΑΚΗ</t>
  </si>
  <si>
    <t>ΜΟΛΛΑ</t>
  </si>
  <si>
    <t>ΤΑΜΠΑΛΗΣ</t>
  </si>
  <si>
    <t>ΧΡΥΣΟΥΛΗ</t>
  </si>
  <si>
    <t>ΘΗΡΕΣΙΑ</t>
  </si>
  <si>
    <t>ΑΝΔΡΙΑΝΟΣ</t>
  </si>
  <si>
    <t>ΚΑΛΑΜΑΡΑΣ</t>
  </si>
  <si>
    <t>ΣΚΛΗΡΟΥ</t>
  </si>
  <si>
    <t>MΑΡΙΑ</t>
  </si>
  <si>
    <t>ΚΑΜΑΡΑ</t>
  </si>
  <si>
    <t>ΜΑΡΙΑ ΙΟΥΛΙΑ</t>
  </si>
  <si>
    <t>ΔΕΜΕΡΤΖΙΔΟΥ</t>
  </si>
  <si>
    <t>ΤΣΕΧΕΛΙΔΟΥ</t>
  </si>
  <si>
    <t>ΛΑΦΤΣΙΔΟΥ</t>
  </si>
  <si>
    <t>ΣΕΒΑΣΤΗ</t>
  </si>
  <si>
    <t>ΚΑΛΤΣΑ</t>
  </si>
  <si>
    <t>ΓΚΙΟΥΦΗ</t>
  </si>
  <si>
    <t>ΚΛΕΟΝΙΚΗ</t>
  </si>
  <si>
    <t>ΜΑΝΙΟΣ</t>
  </si>
  <si>
    <t>ΜΑΡΟΥΔΑ</t>
  </si>
  <si>
    <t>ΤΣΙΩΝΑ</t>
  </si>
  <si>
    <t>ΑΡΓΥΡΟΥΛΑ</t>
  </si>
  <si>
    <t>ΦΩΤΑΚΗΣ</t>
  </si>
  <si>
    <t>ΧΡΥΣΟΧΟΥ</t>
  </si>
  <si>
    <t>ΚΡΙΚΛΑΝΗ</t>
  </si>
  <si>
    <t>ΜΥΛΩΝΗ</t>
  </si>
  <si>
    <t>ΚΩΣΤΑΡΑ</t>
  </si>
  <si>
    <t>ΛΟΥΚΑΣ</t>
  </si>
  <si>
    <t>ΔΙΑΜΑΝΤΗ</t>
  </si>
  <si>
    <t>ΠΑΝΔΡΕΜΜΕΝΟΥ</t>
  </si>
  <si>
    <t>ΑΡΙΣΤΕΑ</t>
  </si>
  <si>
    <t>ΔΕΛΗΜΠΑΣΗ</t>
  </si>
  <si>
    <t>ΜΠΑΚΟΥΛΑ</t>
  </si>
  <si>
    <t>ΤΕΛΗΣ</t>
  </si>
  <si>
    <t>ΝΙΚΗΦΟΡΑΚΗ</t>
  </si>
  <si>
    <t>ΑΓΓΕΛΗ</t>
  </si>
  <si>
    <t>ΜΑΡΙΑΝΘΗ</t>
  </si>
  <si>
    <t>ΠΟΛΥΡΑΒΑ</t>
  </si>
  <si>
    <t>ΔΗΜΟΣ</t>
  </si>
  <si>
    <t>ΚΟΥΤΣΟΚΩΣΤΑΣ</t>
  </si>
  <si>
    <t>ΠΑΣΙΑΚΟΥ</t>
  </si>
  <si>
    <t>ΧΑΡΟΥΛΑ</t>
  </si>
  <si>
    <t>ΖΗΣΗΣ</t>
  </si>
  <si>
    <t>ΜΑΓΔΑΛΗΝΗ</t>
  </si>
  <si>
    <t>ΒΛΑΣΣΗΣ</t>
  </si>
  <si>
    <t>ΤΑΣΣΟΣ</t>
  </si>
  <si>
    <t>ΤΑΛΛΑΡΟΥ</t>
  </si>
  <si>
    <t>ΤΡΑΙΑΝΟΣ</t>
  </si>
  <si>
    <t>ΧΙΟΥ</t>
  </si>
  <si>
    <t>ΜΑΛΑΜΑΤΕΝΙΑ</t>
  </si>
  <si>
    <t>ΚΑΦΕ</t>
  </si>
  <si>
    <t>ΠΟΥΛΟΣ</t>
  </si>
  <si>
    <t>ΧΑΛΚΙΑ</t>
  </si>
  <si>
    <t>ΣΚΟΥΛΙΚΑΡΗ</t>
  </si>
  <si>
    <t>ΤΕΛΛΑΚΗ</t>
  </si>
  <si>
    <t>ΜΑΡΙΑ ΡΑΛΛΟΥ</t>
  </si>
  <si>
    <t>ΣΤΑΘΟΠΟΥΛΟΥ</t>
  </si>
  <si>
    <t>ΧΟΥΣΟΥ</t>
  </si>
  <si>
    <t>ΑΜΑΡΑΝΤΙΔΟΥ</t>
  </si>
  <si>
    <t>ΑΝΔΡΟΥΛΑΚΗ</t>
  </si>
  <si>
    <t>ΚΑΣΣΙΔΗ</t>
  </si>
  <si>
    <t>ΣΟΦΙΑΝΟΣ</t>
  </si>
  <si>
    <t>ΒΑΖΑΚΙΔΗΣ</t>
  </si>
  <si>
    <t>ΖΥΓΟΥΡΑ</t>
  </si>
  <si>
    <t>ΜΕΡΤΖΙΑΝΗΣ</t>
  </si>
  <si>
    <t>ΜΥΡΙΛΛΑ</t>
  </si>
  <si>
    <t>ΤΣΟΥΚΑ</t>
  </si>
  <si>
    <t>ΣΤΑΜΑΤΙΝΑ</t>
  </si>
  <si>
    <t>ΣΟΡΟΛΗ</t>
  </si>
  <si>
    <t>ΚΙΤΣΑΚΗ</t>
  </si>
  <si>
    <t>ΣΠΥΡΙΔΟΥΛΑ ΛΗΔΑ</t>
  </si>
  <si>
    <t>ΑΝΤΩΝΑΚΗ</t>
  </si>
  <si>
    <t>ΒΑΣΙΛΙΚΗ-ΜΑΡΙΑ</t>
  </si>
  <si>
    <t>ΝΙΚΟΛΑΙΔΟΥ</t>
  </si>
  <si>
    <t>ΑΜΑΝΑΤΙΔΟΥ</t>
  </si>
  <si>
    <t>ΧΡΥΣΗ ΣΥΜΕΛΑ</t>
  </si>
  <si>
    <t>ΕΥΚΟΛΙΔΗΣ</t>
  </si>
  <si>
    <t>ΚΥΡΙΑΖΗ</t>
  </si>
  <si>
    <t>ΒΑΣΙΛΙΚΟΥ</t>
  </si>
  <si>
    <t>ΚΟΥΤΣΟΥΡΗ</t>
  </si>
  <si>
    <t>ΣΑΜΑΚΟΣ</t>
  </si>
  <si>
    <t>ΦΩΤΙΟΣ ΠΑΝΑΓΙΩΤΗΣ</t>
  </si>
  <si>
    <t>ΔΡΙΤΣΑ</t>
  </si>
  <si>
    <t>ΤΣΟΥΠΑΚΗ</t>
  </si>
  <si>
    <t>ΔΕΤΣΗ</t>
  </si>
  <si>
    <t>ΠΑΠΑΓΕΩΡΓΟΠΟΥΛΟΥ</t>
  </si>
  <si>
    <t>ΑΝΑΣΤΑΣΙΑ ΑΘΗΝΑ</t>
  </si>
  <si>
    <t>ΥΓΕΙΟΝΟΜΑΚΗ</t>
  </si>
  <si>
    <t>ΝΙΚΟΛΕΤΤΑ</t>
  </si>
  <si>
    <t>ΒΕΡΒΕΡΗ</t>
  </si>
  <si>
    <t>ΤΣΙΡΟΒΑΣΙΛΗΣ</t>
  </si>
  <si>
    <t>ΗΛΙΑΣ ΠΑΥΛΟΣ</t>
  </si>
  <si>
    <t>ΚΟΥΤΛΟΥΜΠΑΣΗ</t>
  </si>
  <si>
    <t>ΡΟΔΟΠΗ</t>
  </si>
  <si>
    <t>ΓΑΒΡΙΗΛΙΔΟΥ</t>
  </si>
  <si>
    <t>ΕΛΕΥΘΕΡΙΑ</t>
  </si>
  <si>
    <t>ΚΩΣΤΑΡΗ</t>
  </si>
  <si>
    <t>ΜΑΡΘΑ</t>
  </si>
  <si>
    <t>ΧΑΤΖΗΚΩΝΣΤΑΝΤΙΝΟΥ</t>
  </si>
  <si>
    <t>ΜΠΟΣΚΟΥ</t>
  </si>
  <si>
    <t>ΓΑΛΑΡΑΣ</t>
  </si>
  <si>
    <t>ΜΙΧΑΛΑΚΗ</t>
  </si>
  <si>
    <t>ΜΑΡΤΑΚΗΣ</t>
  </si>
  <si>
    <t>ΧΡΗΣΤΟΣ ΑΠΟΣΤΟΛΟΣ</t>
  </si>
  <si>
    <t>ΝΙΚΗΤΑΚΗ</t>
  </si>
  <si>
    <t>ΚΑΠΝΟΠΟΥΛΟΥ</t>
  </si>
  <si>
    <t>ΚΑΡΑΚΙΝΑΡΗΣ</t>
  </si>
  <si>
    <t>ΜΑΣΤΟΡΟΤΑΣΙΟΥ</t>
  </si>
  <si>
    <t>ΛΑΖΑΡΑΚΗΣ</t>
  </si>
  <si>
    <t>ΜΙΧΑΛΗΣ</t>
  </si>
  <si>
    <t>ΤΖΙΑΤΖΙΟΥ</t>
  </si>
  <si>
    <t>ΓΛΟΥΦΤΣΙΟΥ</t>
  </si>
  <si>
    <t>ΜΙΧΑΛΑΚΗΣ</t>
  </si>
  <si>
    <t>ΜΑΝΟΛΗΣ</t>
  </si>
  <si>
    <t>ΡΑΠΤΗΣ</t>
  </si>
  <si>
    <t>ΒΑΡΔΑΚΗ</t>
  </si>
  <si>
    <t>ΜΕΛΠΟΜΕΝΗ</t>
  </si>
  <si>
    <t>ΚΩΝΣΤΑΝΤΙΝΟΠΟΥΛΟΣ</t>
  </si>
  <si>
    <t>ΧΑΤΖΗΚΥΡΙΑΚΟΥ</t>
  </si>
  <si>
    <t>ΦΩΤΕΙΝΗ - ΗΛΙΑΝΑ</t>
  </si>
  <si>
    <t>ΑΜΟΙΡΙΔΟΥ</t>
  </si>
  <si>
    <t>ΠΑΠΑΠΟΛΥΧΡΟΝΟΥ</t>
  </si>
  <si>
    <t>ΜΑΥΡΗ</t>
  </si>
  <si>
    <t>ΚΕΝΔΡΙΣΤΑΚΗ</t>
  </si>
  <si>
    <t>ΑΡΙΑΔΝΗ</t>
  </si>
  <si>
    <t>ΚΟΥΒΕΛΗ</t>
  </si>
  <si>
    <t>ΓΑΝΙΔΗΣ</t>
  </si>
  <si>
    <t>ΣΩΤΗΡΙΑΔΟΥ</t>
  </si>
  <si>
    <t>ΖΟΥΡΙΔΑΚΗΣ</t>
  </si>
  <si>
    <t>ΣΟΥΚΟΥΛΗ</t>
  </si>
  <si>
    <t>ΚΑΡΑΓΙΑΝΝΙΔΗΣ</t>
  </si>
  <si>
    <t>ΜΑΝΩΛΗ</t>
  </si>
  <si>
    <t>ΚΑΛΟΚΑΙΡΙΝΟΥ</t>
  </si>
  <si>
    <t>ΟΔΥΣΣΕΥΣ</t>
  </si>
  <si>
    <t>ΣΑΒΒΑΤΙΑΝΟΥ</t>
  </si>
  <si>
    <t>ΤΣΑΖΗ</t>
  </si>
  <si>
    <t>ΒΑΤΑΛΗ</t>
  </si>
  <si>
    <t>ΠΙΤΤΟΥ</t>
  </si>
  <si>
    <t>ΜΥΡΣΙΝΗ</t>
  </si>
  <si>
    <t>ΤΖΙΛΙΝΗ</t>
  </si>
  <si>
    <t>ΓΕΩΡΓΙΑΔΗ</t>
  </si>
  <si>
    <t>ΘΕΟΧΑΡΗ</t>
  </si>
  <si>
    <t>ΚΑΛΑΦΑΤΖΗΣ</t>
  </si>
  <si>
    <t>ΑΓΡΙΜΑΚΗΣ</t>
  </si>
  <si>
    <t>ΡΟΥΣΟΣ</t>
  </si>
  <si>
    <t>ΣΤΑΥΡΙΔΟΥ</t>
  </si>
  <si>
    <t>ΜΟΚΑΛΗ</t>
  </si>
  <si>
    <t>ΤΣΙΑΜΗ</t>
  </si>
  <si>
    <t>ΠΡΑΒΙΩΤΗ</t>
  </si>
  <si>
    <t>ΣΤΟΥΡΝΑΡΑΣ</t>
  </si>
  <si>
    <t>ΘΕΟΔΩΡΑ</t>
  </si>
  <si>
    <t>ΚΟΡΟΞΕΝΙΔΟΥ</t>
  </si>
  <si>
    <t>ΑΜΑΝΑΤΙΟΣ</t>
  </si>
  <si>
    <t>ΚΑΤΣΟΥΛΗΣ</t>
  </si>
  <si>
    <t>ΤΕΡΖΙΔΟΥ</t>
  </si>
  <si>
    <t xml:space="preserve">ΔΗΜΟΣ </t>
  </si>
  <si>
    <t>ΚΑΛΟΓΕΡΟΠΟΥΛΟΥ</t>
  </si>
  <si>
    <t>ΚΑΡΤΣΙΟΥ</t>
  </si>
  <si>
    <t>ΑΛΚΗΣΤΙΣ ΣΤΕΡΓΙΑΝΗ</t>
  </si>
  <si>
    <t>ΦΛΩΡΟΥ ΚΑΡΑΤΖΙΑ</t>
  </si>
  <si>
    <t>ΨΑΡΟΠΟΥΛΟΣ</t>
  </si>
  <si>
    <t>ΣΚΑΡΒΕΛΑΚΗΣ</t>
  </si>
  <si>
    <t>ΕΜΜΑΝΟΥΗ</t>
  </si>
  <si>
    <t>ΦΩΤΕΙΝΟΥ</t>
  </si>
  <si>
    <t>ΜΥΡΟΦΟΡΙΔΟΥ</t>
  </si>
  <si>
    <t>ΒΑΡΒΑΡΑ ΧΡΙΣΤΙΝΑ</t>
  </si>
  <si>
    <t>ΓΚΟΥΡΟΜΠΙΝΟΥ</t>
  </si>
  <si>
    <t>ΓΑΛΑΤΑ</t>
  </si>
  <si>
    <t>ΓΕΩΡΓΙΟΥ</t>
  </si>
  <si>
    <t>ΛΑΛΛΑΣ</t>
  </si>
  <si>
    <t>ΨΑΡΟΓΙΑΝΝΗΣ</t>
  </si>
  <si>
    <t>ΓΚΙΟΥΛΕΚΑ</t>
  </si>
  <si>
    <t>ΚΙΟΥΣΗΣ</t>
  </si>
  <si>
    <t>Καστρινάκη</t>
  </si>
  <si>
    <t>Ελευθερία</t>
  </si>
  <si>
    <t>Ελευθέριος</t>
  </si>
  <si>
    <t>ΜΑΥΡΟΦΟΡΑ</t>
  </si>
  <si>
    <t>ΛΕΒΕΝΤΟΠΟΥΛΟΣ</t>
  </si>
  <si>
    <t>ΠΑΡΔΑΛΗ</t>
  </si>
  <si>
    <t>ΜΕΣΑΡΙΤΑΚΗ</t>
  </si>
  <si>
    <t>ΓΕΩΡΓΟΥΛΑ</t>
  </si>
  <si>
    <t>ΚΟΥΠΙΔΟΥ</t>
  </si>
  <si>
    <t>ΕΛΕΟΝΩΡΑ</t>
  </si>
  <si>
    <t>ΤΑΣΙΟΥ</t>
  </si>
  <si>
    <t>ΣΤΕΦΑΝΙΑ</t>
  </si>
  <si>
    <t>ΔΕΛΗΓΙΑΝΝΗ</t>
  </si>
  <si>
    <t>ΖΙΟΥΡΑ</t>
  </si>
  <si>
    <t>ΟΥΡΑΝΙΑ</t>
  </si>
  <si>
    <t>ΚΟΛΛΙΑΣ</t>
  </si>
  <si>
    <t>ΓΑΡΔΕΛΗΣ</t>
  </si>
  <si>
    <t>ΖΙΩΓΑ</t>
  </si>
  <si>
    <t>ΜΑΡΙΕΤΑ</t>
  </si>
  <si>
    <t>ΗΛΙΑΔΟΥ</t>
  </si>
  <si>
    <t>ΛΕΚΟΣΙΩΤΗ</t>
  </si>
  <si>
    <t>ΒΑΣΙΛΕΙΑΔΗΣ</t>
  </si>
  <si>
    <t>ΤΕΡΖΟΠΟΥΛΟΥ</t>
  </si>
  <si>
    <t>ΑΙΚΑΤΕΡΙΝΗ ΔΑΝΑΗ</t>
  </si>
  <si>
    <t>ΚΑΤΩΤΡΙΩΤΟΥ</t>
  </si>
  <si>
    <t>ΣΤΑΙΚΟΥ</t>
  </si>
  <si>
    <t>ΣΥΜΕΩΝΙΔΟΥ</t>
  </si>
  <si>
    <t>ΠΟΡΝΑΛΗΣ</t>
  </si>
  <si>
    <t>ΣΤΑΜΑΤΑΚΗ</t>
  </si>
  <si>
    <t>ΚΩΣΤΑΝΤΗ</t>
  </si>
  <si>
    <t>ΔΑΔΙΝΟΥ</t>
  </si>
  <si>
    <t>ΠΑΠΑΧΡΗΣΤΟΣ</t>
  </si>
  <si>
    <t>ΚΑΡΑΣΤΕΡΓΙΟΥ</t>
  </si>
  <si>
    <t>ΔΙΑΜΑΝΤΟΠΟΥΛΟΣ</t>
  </si>
  <si>
    <t>ΓΕΩΡΓΙΟΣ - ΣΤΕΦΑΝΟΣ</t>
  </si>
  <si>
    <t>ΔΕΛΗΘΕΟΔΩΡΟΥ</t>
  </si>
  <si>
    <t>ΣΤΡΙΛΙΓΚΑ</t>
  </si>
  <si>
    <t>ΚΟΥΣΙΔΟΥ</t>
  </si>
  <si>
    <t>ΖΑΧΟΥ</t>
  </si>
  <si>
    <t>ΦΟΥΝΤΑΣ</t>
  </si>
  <si>
    <t>ΣΤΑ</t>
  </si>
  <si>
    <t>ΒΡΕΚΑ</t>
  </si>
  <si>
    <t>ΔΗΜΗΤΡΙΑΔΗΣ</t>
  </si>
  <si>
    <t>ΚΕΧΑΓΙΑ</t>
  </si>
  <si>
    <t>ΜΑΚΡΥΓΙΑΝΝΗ</t>
  </si>
  <si>
    <t>ΛΑΔΙΑ</t>
  </si>
  <si>
    <t>ΚΑΡΒΟΥΝΗΣ</t>
  </si>
  <si>
    <t>ΠΑΛΑΣΙΔΟΥ</t>
  </si>
  <si>
    <t>ΚΩΣΤΑΚΗΣ</t>
  </si>
  <si>
    <t>ΦΡΕΝΤΖΟΥ</t>
  </si>
  <si>
    <t>ΑΓΝΗ</t>
  </si>
  <si>
    <t>ΠΑΠΟΥΤΣΗ</t>
  </si>
  <si>
    <t>ΚΩΣΤΙΔΟΥ</t>
  </si>
  <si>
    <t>ΣΥΜΕΩΝΙΔΗΣ</t>
  </si>
  <si>
    <t>ΟΡΕΣΤΗΣ</t>
  </si>
  <si>
    <t>ΜΠΟΥΛΙΟΥ</t>
  </si>
  <si>
    <t>ΤΑΣΗΣ</t>
  </si>
  <si>
    <t>ΧΙΩΤΕΛΛΗ</t>
  </si>
  <si>
    <t>ΦΑΝΗ</t>
  </si>
  <si>
    <t>ΠΟΥΡΣΑΙΤΙΔΟΥ</t>
  </si>
  <si>
    <t>ΜΟΥΔΑΤΣΑΚΗΣ</t>
  </si>
  <si>
    <t>ΣΚΕΠΑΣΤΙΔΟΥ</t>
  </si>
  <si>
    <t>ΑΠΟΣΤΟΛΟΥ</t>
  </si>
  <si>
    <t>ΝΑΡΗ</t>
  </si>
  <si>
    <t>ΠΕΤΡΙΔΗΣ</t>
  </si>
  <si>
    <t>ΓΑΛΑΝΗ</t>
  </si>
  <si>
    <t>ΛΙΒΑΝΗ</t>
  </si>
  <si>
    <t>ΛΕΛΕΚΗ</t>
  </si>
  <si>
    <t>ΣΩΤΗΡΙΟΥ</t>
  </si>
  <si>
    <t>ΔΗΜΟΥΛΑ</t>
  </si>
  <si>
    <t>ΓΙΑΝΝΑΚ</t>
  </si>
  <si>
    <t>ΛΑΛΑ</t>
  </si>
  <si>
    <t>ΕΥΘΥΜΙΟΣ</t>
  </si>
  <si>
    <t>ΠΕΡΥΣΙΝΑΚΗ</t>
  </si>
  <si>
    <t>ΜΠΑΡΟΥΤΑΣ</t>
  </si>
  <si>
    <t>ΜΟΥΤΑΦΗ</t>
  </si>
  <si>
    <t xml:space="preserve">ΜΑΡΙΑ </t>
  </si>
  <si>
    <t>ΤΟΥΡΑΛΙΑΣ</t>
  </si>
  <si>
    <t>ΜΙΧΑΛΟΥ</t>
  </si>
  <si>
    <t>ΖΗΣΗ</t>
  </si>
  <si>
    <t>ΓΑΛΗΝΗ</t>
  </si>
  <si>
    <t>ΧΡΥΣΑΦΟΓΕΩΡΓΟΥ</t>
  </si>
  <si>
    <t>ΣΤΕΙΡΟΥ</t>
  </si>
  <si>
    <t>ΖΗΝΟΒΙΑ</t>
  </si>
  <si>
    <t>ΓΕΩΡΓΑΚΗΣ</t>
  </si>
  <si>
    <t>ΓΑΡΜΠΗ</t>
  </si>
  <si>
    <t>ΠΑΝΑΓΗΣ ΔΗΜΗΤΡΙΟΣ</t>
  </si>
  <si>
    <t>ΛΑΓΙΟΥ</t>
  </si>
  <si>
    <t>ΑΡΧΟΝΤΟΥΛΑ</t>
  </si>
  <si>
    <t>ΚΟΛΕΙΔΟΥ</t>
  </si>
  <si>
    <t>ΑΚΡΙΩΤΟΥ</t>
  </si>
  <si>
    <t>ΜΕΛΙΟΠΟΥΛΟΥ</t>
  </si>
  <si>
    <t>ΜΑΡΙΑ ΚΑΛΛΙΟΠΗ</t>
  </si>
  <si>
    <t>ΤΙΤΟΝΗ</t>
  </si>
  <si>
    <t>ΜΑΚΡΙΔΗΣ</t>
  </si>
  <si>
    <t>ΚΑΡΑΜΕΤΟΥ</t>
  </si>
  <si>
    <t>ΕΥΣΤΡΑΤΙΑ ΕΥΤΥΧΙΑ</t>
  </si>
  <si>
    <t>ΚΑΨΗΣ</t>
  </si>
  <si>
    <t>ΜΕΤΑΞΑΣ - ΜΑΡΙΑΤΟΣ</t>
  </si>
  <si>
    <t>ΒΑΙΤΣΗΣ</t>
  </si>
  <si>
    <t>ΠΑΤΣΙΑ</t>
  </si>
  <si>
    <t>ΜΑΧΑΙΡΟΠΟΥΛΟΥ</t>
  </si>
  <si>
    <t>ΔΕΣΠ</t>
  </si>
  <si>
    <t>ΣΤΟΓΙΑΝΝΗ</t>
  </si>
  <si>
    <t>ΚΑΒΟΥΡΤΙΔΗ</t>
  </si>
  <si>
    <t>ΑΡΑΒΑΝΗ</t>
  </si>
  <si>
    <t>ΧΑΡΑ</t>
  </si>
  <si>
    <t>ΠΟΛΥΧΡΟΝΑΚΗ</t>
  </si>
  <si>
    <t>ΣΤΥΛΙΔΟΥ</t>
  </si>
  <si>
    <t>ΜΟΥΤΑΦΤΣΗ</t>
  </si>
  <si>
    <t>ΓΚΕΚΑ</t>
  </si>
  <si>
    <t>ΒΑΣΚΟΥ</t>
  </si>
  <si>
    <t>ΓΚΑΤΖΟΥΝΑ</t>
  </si>
  <si>
    <t>ΣΦΥΡΗ</t>
  </si>
  <si>
    <t>ΕΡΜΙΟΝΗ</t>
  </si>
  <si>
    <t>ΤΣΑΚΑΛΗ</t>
  </si>
  <si>
    <t>ΚΑΡΑΚΩΣΤΑ</t>
  </si>
  <si>
    <t>ΛΑΜΠΡΙΝΗ</t>
  </si>
  <si>
    <t>ΓΑΡΟΥΦΑ</t>
  </si>
  <si>
    <t>ΦΙΛΙΠΠΙΔΗΣ</t>
  </si>
  <si>
    <t>ΣΤΑΜΑΤΗΣ</t>
  </si>
  <si>
    <t>ΘΑΝΑΣΟΥΛΑΣ</t>
  </si>
  <si>
    <t>ΜΟΥΣΑ</t>
  </si>
  <si>
    <t>ΜΥΡΙΑΝΘΗ</t>
  </si>
  <si>
    <t>ΤΣΟΥΚΑΛΑΣ</t>
  </si>
  <si>
    <t>ΣΤΕΦΝΟΣ</t>
  </si>
  <si>
    <t>ΙΩΣΗΦΙΔΟΥ</t>
  </si>
  <si>
    <t>ΜΟΣΧΟΝΑΣ</t>
  </si>
  <si>
    <t>ΙΩΑΝΝΗΣ - ΑΝΔΡΕΑΣ</t>
  </si>
  <si>
    <t>ΓΚΙΓΚΗ</t>
  </si>
  <si>
    <t>ΛΑΣΚΑΡΗ</t>
  </si>
  <si>
    <t>ΜΑΡΑΒΕΛΑΚΗ</t>
  </si>
  <si>
    <t>ΠΑΠΑΒΑΣΙΛΕΙΟΥ</t>
  </si>
  <si>
    <t>ΣΤΟΥΠΑΣ</t>
  </si>
  <si>
    <t>ΖΩΓΡΑΦΟΥ</t>
  </si>
  <si>
    <t>ΝΙΚΟΥ</t>
  </si>
  <si>
    <t>ΜΑΝΙΤΣΑ</t>
  </si>
  <si>
    <t>ΣΜΑΝΗ</t>
  </si>
  <si>
    <t>ΣΩΤΗΡΙΑ</t>
  </si>
  <si>
    <t>ΣΚΕΝΤΟΥ</t>
  </si>
  <si>
    <t>ΠΑΠΑΙΩΑΝΝΟΥ</t>
  </si>
  <si>
    <t>ΣΤΕΛΛΑ ΕΙΡΗΝΗ</t>
  </si>
  <si>
    <t>ΝΙΚΟΛΑΚΟΠΟΥΛΟΣ</t>
  </si>
  <si>
    <t>ΔΙΑΜΑΝΤΟΓΙΑΝΝΗ</t>
  </si>
  <si>
    <t>ΤΙΜΟΘΕΑ ΑΣΗΜΙΝΑ</t>
  </si>
  <si>
    <t>ΜΟΧΙΑΝΑΚΗ ΚΑΡΑΜΠΑΤΖΑΚΗ</t>
  </si>
  <si>
    <t>ΜΑΡΙΛΕΝΑ</t>
  </si>
  <si>
    <t>ΧΑΤΖΗΑΘΑΝΑΣΙΟΥ</t>
  </si>
  <si>
    <t>ΚΟΥΤΣΟΔΟΝΤΗΣ</t>
  </si>
  <si>
    <t>ΓΚΑΝΤΡΗ</t>
  </si>
  <si>
    <t>ΣΤΑΜΟΥΛΑΚΗΣ</t>
  </si>
  <si>
    <t>ΔΕΒΕΡΑΚΗ</t>
  </si>
  <si>
    <t>ΡΟΥΣΣΑΚΟΣ</t>
  </si>
  <si>
    <t>ΖΑΚΚΑΣ</t>
  </si>
  <si>
    <t>ΚΟΥΡΑΛΙΔΟΥ</t>
  </si>
  <si>
    <t>ΔΗΜΟΥ</t>
  </si>
  <si>
    <t>ΓΛΥΚΕΡΙΑ</t>
  </si>
  <si>
    <t>ΜΙΧΑΗΛΙΔΟΥ</t>
  </si>
  <si>
    <t>ΠΕΤΡΟΥΣΗ</t>
  </si>
  <si>
    <t>ΓΙΑΝΝΑΚΟΥΛΟΠΟΥΛΟΥ</t>
  </si>
  <si>
    <t>ΤΑΚΗ</t>
  </si>
  <si>
    <t>ΞΑΝΘΗ ΑΙΚΑΤΕΡΙΝΗ</t>
  </si>
  <si>
    <t>ΒΑΝΙΩΤΗ</t>
  </si>
  <si>
    <t>ΒΟΓΔΟΠΟΥΛΟΥ</t>
  </si>
  <si>
    <t>ΠΕΡΙΣΤΕΡΑ</t>
  </si>
  <si>
    <t>ΕΓΓΛΕΖΟΥ</t>
  </si>
  <si>
    <t>ΒΑΣΙΛΙΚΗ - ΕΛΕΝΗ</t>
  </si>
  <si>
    <t>ΛΑΓΙΟΣ</t>
  </si>
  <si>
    <t>ΒΛΑΣΗΣ</t>
  </si>
  <si>
    <t>ΖΗΝΕΛΗΣ</t>
  </si>
  <si>
    <t>ΓΙΑΝΝΟΥΛΟΥ</t>
  </si>
  <si>
    <t>ΣΕΡΓΙΟΣ</t>
  </si>
  <si>
    <t>ΜΑΥΡΟΠΟΥΛΟΥ</t>
  </si>
  <si>
    <t>ΛΑΖΑΡΟΣ</t>
  </si>
  <si>
    <t>ΖΩΤΑΛΗΣ</t>
  </si>
  <si>
    <t>ΚΑΡΑΜΗΤΣΟΥ</t>
  </si>
  <si>
    <t>ΣΠΑΘΗ</t>
  </si>
  <si>
    <t>ΕΥΓΕΝΙΑ ΟΛΥΜΠΙΑ</t>
  </si>
  <si>
    <t>ΠΑΠΑΔΟΣΠΥΡΙΔΑΚΗΣ</t>
  </si>
  <si>
    <t>ΚΕΝΑΝΙΔΟΥ</t>
  </si>
  <si>
    <t>ΜΠΑΤΣΗ</t>
  </si>
  <si>
    <t>ΑΡΑΜΠΑΤΖΗ</t>
  </si>
  <si>
    <t>ΜΑΡΑΚΗΣ</t>
  </si>
  <si>
    <t>ΜΕΡΤΗΡΗ</t>
  </si>
  <si>
    <t>ΕΥΦΗΜΙΑ</t>
  </si>
  <si>
    <t>ΔΗΜΗΤΡΟΠΟΥΛΟΥ</t>
  </si>
  <si>
    <t>ΜΠΡΟΥΖΟΥ</t>
  </si>
  <si>
    <t>ΑΣΗΜΙΝΑ</t>
  </si>
  <si>
    <t>ΚΥΡΤΖΟΓΛΟΥ</t>
  </si>
  <si>
    <t>ΑΝΔΡΟΥΛΙΔΑΚΗ</t>
  </si>
  <si>
    <t>ΑΛΕΞΙΟΣ</t>
  </si>
  <si>
    <t>ΜΑΚΡΙΔΟΥ</t>
  </si>
  <si>
    <t>ΖΩΓΡΑΦΑ</t>
  </si>
  <si>
    <t>ΚΟΥΛΟΓΕΩΡΓΙΟΥ</t>
  </si>
  <si>
    <t>ΜΠΑΣΚΟΖΟΣ</t>
  </si>
  <si>
    <t>ΧΑΡΗΣ</t>
  </si>
  <si>
    <t>ΑΣΗΜΑΚΟΠΟΥΛΟΣ</t>
  </si>
  <si>
    <t>ΤΣΟΚΑΡΑ-ΚΑΚΑΝΙΑΡΑ</t>
  </si>
  <si>
    <t>ΣΑΚΕΛΛΑΡΗ</t>
  </si>
  <si>
    <t>ΤΡΥΦΩΝ ΝΙΚΟΛΑΟΣ</t>
  </si>
  <si>
    <t>ΠΟΛΥΖΟΥ</t>
  </si>
  <si>
    <t>ΠΑΠΑΓΙΑΝΝΗΣ</t>
  </si>
  <si>
    <t>ΜΗΝΟΔΩΡΑ</t>
  </si>
  <si>
    <t>ΘΥΜΗ</t>
  </si>
  <si>
    <t>ΙΟΥΛΙΕΤΤΑ ΕΛΕΝΗ</t>
  </si>
  <si>
    <t>ΣΑΡΑΚΑΤΣΙΑΝΟΥ</t>
  </si>
  <si>
    <t>ΧΡΙΣΤΟΦΟΡΙΔΗΣ</t>
  </si>
  <si>
    <t>ΚΑΤΡΑΟΥΖΟΥ</t>
  </si>
  <si>
    <t>ΚΟΥΛΟΥΡΗ</t>
  </si>
  <si>
    <t>ΔΗΜΗΤΡΙΑΔΟΥ</t>
  </si>
  <si>
    <t>ΣΩΤΗΡΟΠΟΥΛΟΥ</t>
  </si>
  <si>
    <t>ΚΑΟΥΡΗ</t>
  </si>
  <si>
    <t>ΣΕΡΕΤΗΣ</t>
  </si>
  <si>
    <t>ΣΥΝΤΖΑΝΑΚΗ</t>
  </si>
  <si>
    <t>ΤΖΟΤΖΩΚΟΥ</t>
  </si>
  <si>
    <t>ΜΕΡΜΗΓΚΟΥΔΗ</t>
  </si>
  <si>
    <t>ΝΤΟΓΚΟΥΛΗ</t>
  </si>
  <si>
    <t>ΞΑΝΘΟΠΟΥΛΙΔΟΥ</t>
  </si>
  <si>
    <t>ΘΕΑΝΩ</t>
  </si>
  <si>
    <t>ΚΑΡΚΑΤΣΟΥΛΗ</t>
  </si>
  <si>
    <t>ΤΡΥΦΩΝ</t>
  </si>
  <si>
    <t>ΣΠΗΛΙΩΤΑΚΟΥ</t>
  </si>
  <si>
    <t>ΤΡΑΝΑΚΑ</t>
  </si>
  <si>
    <t>ΠΗΝΕΛΟΠΗ</t>
  </si>
  <si>
    <t>ΤΣΙΤΣΙΒΑ</t>
  </si>
  <si>
    <t>ΜΟΥΤΗ</t>
  </si>
  <si>
    <t>ΝΤΟΥΛΙΑΣ</t>
  </si>
  <si>
    <t>ΠΡΙΦΤΗ</t>
  </si>
  <si>
    <t xml:space="preserve">ΑΝΑΣΤΑΣΙΑΔΟΥ </t>
  </si>
  <si>
    <t>ΞΕΝΑΚΗΣ</t>
  </si>
  <si>
    <t>ΜΑΤΘΑΙΟΣ</t>
  </si>
  <si>
    <t>ΠΕΚΑΛΗ</t>
  </si>
  <si>
    <t>ΜΕΡΚΟΥΡΙΟΣ</t>
  </si>
  <si>
    <t>ΜΟΥΜΤΖΗΣ</t>
  </si>
  <si>
    <t>ΚΑΝΑΚΗ</t>
  </si>
  <si>
    <t>ΒΑΦΕΙΑΔΗΣ</t>
  </si>
  <si>
    <t>ΠΙΣΚΟΥΛΙΑΝ</t>
  </si>
  <si>
    <t>ΜΑΡΗ ΑΛΕΞΑΝΔ</t>
  </si>
  <si>
    <t>ΑΛΕΞΑΝΔΡΟΣ-ΑΔΟΛΦΟΣ</t>
  </si>
  <si>
    <t>ΛΙΑΠΗ</t>
  </si>
  <si>
    <t>ΡΟΓΚΑΣ</t>
  </si>
  <si>
    <t>ΠΡΟΚΟΠΙΟΥ</t>
  </si>
  <si>
    <t>ΚΑΝΝΑΒΟΣ</t>
  </si>
  <si>
    <t>ΚΑΚΚΟΥ</t>
  </si>
  <si>
    <t>ΓΕΩΡΓΙΑ ΑΡΤΕΜΙΣ</t>
  </si>
  <si>
    <t>ΛΟΥΚΙΔΟΥ</t>
  </si>
  <si>
    <t>ΑΔΑΜΟΣ</t>
  </si>
  <si>
    <t>ΚΟΥΤΣΟΠΟΥΛΟΣ</t>
  </si>
  <si>
    <t>ΤΣΙΚΡΙΚΑΣ</t>
  </si>
  <si>
    <t>ΠΑΠΑΧΑΡΙΣΙΟΥ</t>
  </si>
  <si>
    <t>ΚΑΡΑΚΕΚΕ</t>
  </si>
  <si>
    <t>ΚΑΜΠΙΩΤΗΣ</t>
  </si>
  <si>
    <t>ΣΙΟΥΤΑ</t>
  </si>
  <si>
    <t>ΒΙΔΑΛΗΣ</t>
  </si>
  <si>
    <t>ΠΙΣΤΟΛΗΣ</t>
  </si>
  <si>
    <t>ΤΡΙΚΑΛΙΩΤΗΣ</t>
  </si>
  <si>
    <t>ΜΑΘΙΟΥΔΑΚΗ</t>
  </si>
  <si>
    <t>ΒΙΤΣΑ</t>
  </si>
  <si>
    <t>ΘΑΝΟΥ</t>
  </si>
  <si>
    <t>ΠΑΡΑΣΚΕΥΟΥΔΗΣ</t>
  </si>
  <si>
    <t>ΠΑΣΧΑΛΗΣ</t>
  </si>
  <si>
    <t>ΦΙΛΙΠΠΟΥ</t>
  </si>
  <si>
    <t>ΜΠΑΦΑ</t>
  </si>
  <si>
    <t>ΤΖΟΛΑΣ</t>
  </si>
  <si>
    <t>ΨΕΥΤΟΓΚΑΣ</t>
  </si>
  <si>
    <t>ΠΕΤΡΟΠΟΥΛΟΥ</t>
  </si>
  <si>
    <t>ΜΠΑΚΑΡΟΥ</t>
  </si>
  <si>
    <t>ΒΛΑΧΟΔΗΜΗΤΡΟΠΟΥΛΟΥ</t>
  </si>
  <si>
    <t>ΧΟΝΔΡΟΝΙΚΟΛΑ</t>
  </si>
  <si>
    <t>ΜΠΑΝΤΟΥΒΑ</t>
  </si>
  <si>
    <t>ΤΖΕΒΕΛΕΚΟΣ</t>
  </si>
  <si>
    <t>ΣΙΩΡΟΠΟΥΛΟΥ</t>
  </si>
  <si>
    <t>ΝΑΥΣΙΚΑ</t>
  </si>
  <si>
    <t>ΤΣΟΥΛΑΚΙΔΟΥ</t>
  </si>
  <si>
    <t>ΠΟΖΙΟΥ</t>
  </si>
  <si>
    <t>ΑΛΕΞΙΑ</t>
  </si>
  <si>
    <t>ΖΒΙΓΓΟΥ</t>
  </si>
  <si>
    <t>ΣΙΟΥΤΗ</t>
  </si>
  <si>
    <t>ΜΑΛΑΜΑ</t>
  </si>
  <si>
    <t>ΜΠΟΥΝΤΟΛΟΥ</t>
  </si>
  <si>
    <t>ΝΤΕΡΤΣΑ</t>
  </si>
  <si>
    <t>ΔΗΜΗΤΡΙΟΥ</t>
  </si>
  <si>
    <t>ΓΕΩΡΓΙΑ ΕΡΙΕΤΑ</t>
  </si>
  <si>
    <t>ΝΑΤΣΑΡΙΔΟΥ</t>
  </si>
  <si>
    <t>ΜΑΓΓΟΥ</t>
  </si>
  <si>
    <t>ΖΟΥΖΟΥΛΑ</t>
  </si>
  <si>
    <t>ΠΑΝΑΓΙΩΤ</t>
  </si>
  <si>
    <t>ΤΟΣΙΟΥΔΗΣ</t>
  </si>
  <si>
    <t>ΜΑΝΤΖΙΑΡΑ</t>
  </si>
  <si>
    <t>ΕΥΑΓΓΕΛΙΑ ΜΑΡΙΑ</t>
  </si>
  <si>
    <t>ΚΑΖΑ</t>
  </si>
  <si>
    <t>ΚΗΡΟΜΙΤΗ</t>
  </si>
  <si>
    <t>ΧΡΥΣΑΥΓΗ</t>
  </si>
  <si>
    <t>ΞΗΡΟΜΕΡΙΤΗ</t>
  </si>
  <si>
    <t>ΜΑΥΡΟΜΜΑΤΑΚΗ</t>
  </si>
  <si>
    <t>ΑΛΕΞΑΝΔΡΗΣ</t>
  </si>
  <si>
    <t>ΤΡΙΑΝΤΑΦΥΛΛΟΣ</t>
  </si>
  <si>
    <t>ΒΑΣΙΛΕΙΟΥ</t>
  </si>
  <si>
    <t>ΣΩΤΗΡΑΚΟΠΟΥΛΟΣ</t>
  </si>
  <si>
    <t>ΠΟΛΥΒΙΟΣ</t>
  </si>
  <si>
    <t>ΛΑΖΑΡΟΥ</t>
  </si>
  <si>
    <t>ΧΟΥΣΟΣ</t>
  </si>
  <si>
    <t>ΔΕΜΕΡΤΖΗΣ</t>
  </si>
  <si>
    <t>ΔΟΥΚΑΣ</t>
  </si>
  <si>
    <t>ΚΡΕΛΙΑΣ</t>
  </si>
  <si>
    <t>ΑΝΘΥΜΙΔΟΥ</t>
  </si>
  <si>
    <t>ΒΟΥΛΒΟΥΛΗ</t>
  </si>
  <si>
    <t>ΠΑΝΔΗΣ</t>
  </si>
  <si>
    <t>ΜΠΑΛΗΣ</t>
  </si>
  <si>
    <t>ΧΙΤΖΗΣ</t>
  </si>
  <si>
    <t>ΔΡΟΣΟΥ</t>
  </si>
  <si>
    <t>ΚΑΤΣΑΡΑΚΗ</t>
  </si>
  <si>
    <t>ΣΤΕΡΓΙΟΥ</t>
  </si>
  <si>
    <t>ΕΣΑΜΠΑΛΙΟΓΛΟΥ</t>
  </si>
  <si>
    <t>ΝΑΤΑΛΙΑ</t>
  </si>
  <si>
    <t>ΛΕΚΚΑ</t>
  </si>
  <si>
    <t>ΓΑΛΑΚΤΟΠΟΥΛΟΥ</t>
  </si>
  <si>
    <t>ΕΛΕΝΗ-ΜΑΡΙΑ</t>
  </si>
  <si>
    <t>ΚΟΥΤΣΟΠΟΥΛΟΥ</t>
  </si>
  <si>
    <t>ΒΛΑΧΟΥ</t>
  </si>
  <si>
    <t>ΘΕΟΔΩΡΙΔΗΣ</t>
  </si>
  <si>
    <t>ΧΑΡΑΛAΜΠΟΣ</t>
  </si>
  <si>
    <t>ΜΠΑΝΟΥΣΗΣ</t>
  </si>
  <si>
    <t>ΜΑΡΑΜΗ</t>
  </si>
  <si>
    <t>ΑΝΑΣΤΑΣΑΚΗ</t>
  </si>
  <si>
    <t>ΛΟΝΤΟΡΦΟΣ</t>
  </si>
  <si>
    <t>ΛΑΒΟΥ</t>
  </si>
  <si>
    <t>ΓΕΡΑΚΟΠΟΥΛΟΥ</t>
  </si>
  <si>
    <t>ΒΑΣΙΛΕΙΑ</t>
  </si>
  <si>
    <t>ΨΑΛΤΗΣ</t>
  </si>
  <si>
    <t>ΛΑΒΑΝΤΣΙΩΤΗΣ</t>
  </si>
  <si>
    <t>ΚΟΡΝΗΛΙΟΣ</t>
  </si>
  <si>
    <t>ΚΕΦΑΛΑΣ</t>
  </si>
  <si>
    <t>ΜΑΝΙΩΤΗ</t>
  </si>
  <si>
    <t>ΧΡΟΝΗ</t>
  </si>
  <si>
    <t>ΑΠΟΣΤΟΛΑΚΟΥ</t>
  </si>
  <si>
    <t>ΜΑΡΙΑ ΠΑΝΩΡΑΙΑ</t>
  </si>
  <si>
    <t>ΔΙΑΜΑΝΤΙΔΟΥ</t>
  </si>
  <si>
    <t>ΝΙΚΟΛΕΤΑ</t>
  </si>
  <si>
    <t>ΠΡΟΔΡΟΜΟΣ</t>
  </si>
  <si>
    <t>ΚΟΥΣΟΥΛΑΣ</t>
  </si>
  <si>
    <t>ΓΡΑΤΣΙΑ</t>
  </si>
  <si>
    <t>ΜΑΝΟΥ</t>
  </si>
  <si>
    <t>ΜΠΑΚΟΛΑΣ</t>
  </si>
  <si>
    <t>ΠΕΡΡΑΚΗΣ</t>
  </si>
  <si>
    <t>ΠΑΡΑΣΚΕΥΑΣ-ΣΑΒΒΑΣ</t>
  </si>
  <si>
    <t>ΝΑΖΙΡΗΣ</t>
  </si>
  <si>
    <t>ΚΟΛΙΑΤΣΟΣ</t>
  </si>
  <si>
    <t>ΚΑΛΟΓΙΑΝΝΗ</t>
  </si>
  <si>
    <t>ΜΥΤΙΛΗΝΟΥ</t>
  </si>
  <si>
    <t>ΙΩΑΝΝΑ-ΜΑΡΙΑ</t>
  </si>
  <si>
    <t>ΜΠΟΥΣΗ</t>
  </si>
  <si>
    <t>ΜΑΡΑ</t>
  </si>
  <si>
    <t>ΜΑΡΚΟΥΤΣΑ</t>
  </si>
  <si>
    <t>ΕΥΘΥΜΙΑΔΟΥ</t>
  </si>
  <si>
    <t>ΣΤΡΑΝΤΖΑΛΗ</t>
  </si>
  <si>
    <t>ΓΡΑΜΜΑΤΙΚΟΥ</t>
  </si>
  <si>
    <t>ΤΕΝΤΟΛΟΥΡΗ</t>
  </si>
  <si>
    <t>ΤΡΙΑΝΤΑΦΥΛΛΙΔΗΣ</t>
  </si>
  <si>
    <t>ΒΕΔΟΥΡΑ</t>
  </si>
  <si>
    <t>ΚΟΖΙΚΟΠΟΥΛΟΥ</t>
  </si>
  <si>
    <t>ΦΟΥΤΣΑ</t>
  </si>
  <si>
    <t>ΠΡΙΝΑΡΗΣ</t>
  </si>
  <si>
    <t>ΠΝΕΥΜΑΤΙΚΟΣ</t>
  </si>
  <si>
    <t>ΓΙΔΑΣ</t>
  </si>
  <si>
    <t>ΑΛΕΞΙΟΥ</t>
  </si>
  <si>
    <t>ΗΡΑΚΛΕΟΥΣ</t>
  </si>
  <si>
    <t>ΕΥΣΤΡΑΤΙΑ</t>
  </si>
  <si>
    <t>ΣΙΑΣΟΥ</t>
  </si>
  <si>
    <t>ΚΑΛΟΥΣΗ</t>
  </si>
  <si>
    <t>ΠΑΝΤΕΡΜΑΛΗ</t>
  </si>
  <si>
    <t>ΜΠΑΛΛΑΣ</t>
  </si>
  <si>
    <t>ΤΖΑΜΑΚΟΥ</t>
  </si>
  <si>
    <t>ΤΑΚΛΑΚΟΓΛΟΥ</t>
  </si>
  <si>
    <t>ΣΕΝΔΡΟΣ</t>
  </si>
  <si>
    <t>ΧΑΛΙΟΥΛΙΑ</t>
  </si>
  <si>
    <t>ΜΑΡΙΑ-ΑΝΘΟΥΛΑ</t>
  </si>
  <si>
    <t>ΤΣΙΜΗΡΙΚΑ</t>
  </si>
  <si>
    <t>ΜΑΜΜΟΥΣ</t>
  </si>
  <si>
    <t>ΚΥΡΙΑΚΟΣ ΚΥΠΡΙΑΝΟΣ</t>
  </si>
  <si>
    <t>ΣΚΟΛΑΡΙΚΟΣ</t>
  </si>
  <si>
    <t>ΣΦΑΚΙΑΝΑΚΗ</t>
  </si>
  <si>
    <t>ΒΑΛΕΝΤΙΝΑ</t>
  </si>
  <si>
    <t>ΚΑΛΛΟΣ</t>
  </si>
  <si>
    <t>ΑΡΓΥΡΟΠΟΥΛΟΣ</t>
  </si>
  <si>
    <t>ΜΗΤΣΟΠΟΥΛΟΥ</t>
  </si>
  <si>
    <t>ΜΠΕΛΟΥΜΠΑΣΗ</t>
  </si>
  <si>
    <t>ΧΑΒΙΑΡΟΣ</t>
  </si>
  <si>
    <t>ΤΣΙΛΙΓΙΑΝΝΗ</t>
  </si>
  <si>
    <t>ΜΠΑΚΥΡΤΣΗΣ</t>
  </si>
  <si>
    <t>ΧΑΝΟΥ</t>
  </si>
  <si>
    <t>ΓΡΥΣΜΠΟΛΑΚΗ</t>
  </si>
  <si>
    <t>ΦΑΚΑΣ</t>
  </si>
  <si>
    <t>ΚΑΒΟΥΡΗΣ</t>
  </si>
  <si>
    <t>ΠΑΠΑΠΑΝΑΓΙΩΤΟΥ</t>
  </si>
  <si>
    <t>ΧΡΙΣΤΟΒΑΣΙΛΗ</t>
  </si>
  <si>
    <t>ΣΙΚΕΛΙΑΝΟΣ</t>
  </si>
  <si>
    <t>ΚΟΙΜΤΣΙΔΟΥ</t>
  </si>
  <si>
    <t>ΜΑΓΔΑΛΙΝΗ</t>
  </si>
  <si>
    <t>ΞΥΛΟΥΡΗ</t>
  </si>
  <si>
    <t>ΜΑΡΙΝΑ ΑΡΙΣΤΕΑ</t>
  </si>
  <si>
    <t>ΚΑΛΑΜΠΟΥΚΑ</t>
  </si>
  <si>
    <t>ΚΟΥΤΣΙΑΥΤΗΣ</t>
  </si>
  <si>
    <t>ΖΗΚΟΥ</t>
  </si>
  <si>
    <t>ΚΟΥΡΑΣΗΣ</t>
  </si>
  <si>
    <t>ΦΩΤΕΙΝΟΠΟΥΛΟΥ</t>
  </si>
  <si>
    <t>ΛΑΦΑΖΑΝΗ</t>
  </si>
  <si>
    <t>ΚΑΠΕΤΑΝΙΟΣ</t>
  </si>
  <si>
    <t>ΤΣΟΥΚΑΝΑΣ</t>
  </si>
  <si>
    <t>ΝΕΣΤΟΡΙΔΟΥ</t>
  </si>
  <si>
    <t>ΠΑΠΑΝΟΥΣΗ</t>
  </si>
  <si>
    <t>ΠΑΤΟΥΛΙΑ</t>
  </si>
  <si>
    <t>ΚΙΟΣΣΕ</t>
  </si>
  <si>
    <t>ΟΙΚΟΝΟΜΙΔΗΣ</t>
  </si>
  <si>
    <t>ΣΤΑΣΙΝΟΥ</t>
  </si>
  <si>
    <t>ΚΟΥΒΕΛΙΩΤΗ</t>
  </si>
  <si>
    <t>ΚΩΝΣΤΑΝΤΕΛΟΣ</t>
  </si>
  <si>
    <t>ΚΑΡΑΜΑΡΚΟΣ</t>
  </si>
  <si>
    <t>ΒΙΔΑΛΗ</t>
  </si>
  <si>
    <t>ΜΑΛΑΝΔΡΗΣ</t>
  </si>
  <si>
    <t>ΒΑΣΙΛΑΚΗΣ</t>
  </si>
  <si>
    <t>ΝΤΑΚΟΥΛΑ</t>
  </si>
  <si>
    <t>ΒΛΑΧΑΚΗ</t>
  </si>
  <si>
    <t>ΑΞΙΩΤΗΣ</t>
  </si>
  <si>
    <t>ΜΙΧΑΗΛ ΕΥΘΥΜΙΟΣ</t>
  </si>
  <si>
    <t>ΠΑΓΙΑΤΗ</t>
  </si>
  <si>
    <t>ΚΟΥΡΕΜΕΝΟΥ</t>
  </si>
  <si>
    <t>ΜΠΕΛΙΑΤΗ</t>
  </si>
  <si>
    <t>ΑΛΕΞΑΝΔΡΙΔΗΣ</t>
  </si>
  <si>
    <t>ΑΘΑΝΑΣΟΠΟΥΛΟΣ</t>
  </si>
  <si>
    <t>ΕΙΡΗΝΑΙΟΣ</t>
  </si>
  <si>
    <t>ΚΟΥΚΟΡΑΒΑΣ</t>
  </si>
  <si>
    <t>ΜΑΥΡΟΠΑΝΟΣ</t>
  </si>
  <si>
    <t>ΒΟΥΤΣΕΛΑ</t>
  </si>
  <si>
    <t>ΧΡΙΣΤΙΝΗ</t>
  </si>
  <si>
    <t>ΔΙΑΒΟΛΙΤΣΗ</t>
  </si>
  <si>
    <t>ΓΙΟΒΑΝΟΠΟΥΛΟΥ</t>
  </si>
  <si>
    <t>ΚΛΕΟΠΑΤΡΑ</t>
  </si>
  <si>
    <t>ΚΡΗΤΙΚΟΠΟΥΛΟΥ</t>
  </si>
  <si>
    <t>ΒΕΛΙΣΣΑΡΗ</t>
  </si>
  <si>
    <t>ΘΕΟΔΟΣΗΣ ΜΠΟΥΡΛΙΤΣΗΣ</t>
  </si>
  <si>
    <t>ΧΛΩΡΟΤΥΡΗΣ</t>
  </si>
  <si>
    <t>ΙΣΑΑΚ</t>
  </si>
  <si>
    <t>ΤΣΕΛΕΓΚΙΔΗΣ</t>
  </si>
  <si>
    <t>ΝΤΑΝΤΑΜΗ</t>
  </si>
  <si>
    <t>ΖΟΥΠΙΝΑ</t>
  </si>
  <si>
    <t>ΑΛΙΚΗ ΕΥΦΡΟΣΥΝΗ</t>
  </si>
  <si>
    <t>ΧΑΤΖΑΤΟΓΛΟΥ</t>
  </si>
  <si>
    <t>ΚΑΡΟΥΜΠΗΣ</t>
  </si>
  <si>
    <t>ΤΡΕΒΕΖΑΣ</t>
  </si>
  <si>
    <t>ΣΙΜΩΝ</t>
  </si>
  <si>
    <t>ΚΑΡΑΜΑΛΗΣ</t>
  </si>
  <si>
    <t>ΣΕΒΗ</t>
  </si>
  <si>
    <t>ΓΚΟΜΩΛΗ</t>
  </si>
  <si>
    <t>ΑΓΑΘΗ</t>
  </si>
  <si>
    <t>ΚΟΥΚΑΚΗΣ</t>
  </si>
  <si>
    <t>ΚΩΣΤΑΡΙΔΟΥ</t>
  </si>
  <si>
    <t>Κορωνης</t>
  </si>
  <si>
    <t>Γεωργιος</t>
  </si>
  <si>
    <t>Αποστολος</t>
  </si>
  <si>
    <t>ΜΑΣΤΡΟΓΙΑΝΝΗ</t>
  </si>
  <si>
    <t>ΠΟΥΧΙΑΣ</t>
  </si>
  <si>
    <t>ΓΚΟΥΝΤΟΥΛΑΣ</t>
  </si>
  <si>
    <t>ΣΑΠΟΥΤΖΗ</t>
  </si>
  <si>
    <t>ΣΑΠΛΑΟΥΡΑΣ</t>
  </si>
  <si>
    <t>ΓΑΛΑΝΟΠΟΥΛΟΥ</t>
  </si>
  <si>
    <t>ΠΑΠΑΧΡΗΣΤΟΥ</t>
  </si>
  <si>
    <t>ΔΟΥΔΩΝΗΣ</t>
  </si>
  <si>
    <t>ΑΘΑΝΑΣΙΟΥ</t>
  </si>
  <si>
    <t>ΚΩΝΣΤΑΝΤΝΟΣ</t>
  </si>
  <si>
    <t>ΤΖΑΛΟΝΙΚΟΥ</t>
  </si>
  <si>
    <t>ΚΥΡΙΑΖΟΠΟΥΛΟΥ</t>
  </si>
  <si>
    <t>ΝΕΣΤΩΡ</t>
  </si>
  <si>
    <t>ΜΥΣΤΕΡΟΥΔΗ</t>
  </si>
  <si>
    <t>ΜΠΟΥΡΑ</t>
  </si>
  <si>
    <t>ΑΝΔΡΟΜΑΧΗ</t>
  </si>
  <si>
    <t>ΜΠΟΡΜΠΟΛΗ</t>
  </si>
  <si>
    <t>ΕΡΑΣΜΙΑ</t>
  </si>
  <si>
    <t>ΛΕΚΚΑΣ</t>
  </si>
  <si>
    <t>Λάμπρου</t>
  </si>
  <si>
    <t>Ελισάβετ</t>
  </si>
  <si>
    <t>ΚΙΖΗΡΟΓΛΟΥ</t>
  </si>
  <si>
    <t>ΨΑΡΟΜΙΧΑΛΑΚΗΣ</t>
  </si>
  <si>
    <t>ΧΡΥΣΟΒΑΛΑΝΤΗΣ</t>
  </si>
  <si>
    <t>ΑΛΕΞΑΝΔΟΣ</t>
  </si>
  <si>
    <t>ΧΙΟΥΡΕΑ</t>
  </si>
  <si>
    <t>ΤΣΑΒΔΑΡΛΗΣ</t>
  </si>
  <si>
    <t>ΖΑΜΠΟΓΙΑΝΝΗΣ</t>
  </si>
  <si>
    <t>ΦΑΚΙΡΗ</t>
  </si>
  <si>
    <t>ΚΑΤΣΑΡΑ</t>
  </si>
  <si>
    <t>ΧΡΗΣΤΟΥ</t>
  </si>
  <si>
    <t>ΗΛΙΑΣ ΔΗΜΗΤΡΗΣ</t>
  </si>
  <si>
    <t>ΤΖΙΑΡΑ</t>
  </si>
  <si>
    <t>ΠΑΠΑΠΕΤΡΟΥ</t>
  </si>
  <si>
    <t>ΣΑΛΠΙΣΤΙΔΗΣ</t>
  </si>
  <si>
    <t>ΚΑΤΖΟΥΡΑΚΗ</t>
  </si>
  <si>
    <t>ΕΡΩΦΙΛΗ</t>
  </si>
  <si>
    <t>ΧΑΡΑΛΑΜΠΙΔΟΥ</t>
  </si>
  <si>
    <t>ΚΩΝΣΤΑΝΤ</t>
  </si>
  <si>
    <t>ΠΑΤΡΙΚΙΟΥ</t>
  </si>
  <si>
    <t>ΑΒΕΡΚΙΟΣ</t>
  </si>
  <si>
    <t>ΚΟΡΔΟΜΠΕΗ</t>
  </si>
  <si>
    <t>ΜΠΑΚΑΝΟΣ</t>
  </si>
  <si>
    <t>ΒΟΥΛΙΜΙΩΤΗ</t>
  </si>
  <si>
    <t>ΓΚΕΣΟΥΛΗΣ</t>
  </si>
  <si>
    <t>ΝΤΑΛΑΧΑΝΗ</t>
  </si>
  <si>
    <t>ΑΡΩΝΙΔΗΣ</t>
  </si>
  <si>
    <t>ΚΟΚΚΑΛΕΝΙΟΥ</t>
  </si>
  <si>
    <t>ΣΙΑΦΑΚΑ</t>
  </si>
  <si>
    <t>ΚΩΝΣΤΑΝΤΙΝΙΔΗΣ</t>
  </si>
  <si>
    <t>ΣΙΝΙΟΡΟΣ</t>
  </si>
  <si>
    <t>ΝΤΟΛΚΑ</t>
  </si>
  <si>
    <t>ΚΑΛΗΣΠΕΡΑΚΗΣ</t>
  </si>
  <si>
    <t>ΜΑΡΩΝΙΤΟΥ</t>
  </si>
  <si>
    <t>ΚΟΤΡΩΤΣΟΣ</t>
  </si>
  <si>
    <t>ΒΡΑΧΝΟΥ</t>
  </si>
  <si>
    <t>ΜΠΕΛΜΠΑ</t>
  </si>
  <si>
    <t>ΔΡΟΥΜΠΛΗΣ</t>
  </si>
  <si>
    <t>ΠΑΡΘΕΝΑ</t>
  </si>
  <si>
    <t>ΣΠΥΡΟΥ</t>
  </si>
  <si>
    <t>ΔΑΣΚΑΛΑΚΗ</t>
  </si>
  <si>
    <t>ΛΑΜΠΡΙΝΟΥΔΗ</t>
  </si>
  <si>
    <t>ΜΠΑΡΑΚΟΥ</t>
  </si>
  <si>
    <t>ΕΥΦΡΑΙΜΙΔΗΣ</t>
  </si>
  <si>
    <t>ΜΑΡΚΑΚΗ</t>
  </si>
  <si>
    <t>ΣΜΑΡΑΓΔΑ</t>
  </si>
  <si>
    <t>ΓΕΩΡΓΙΤΣΟΠΟΥΛΟΥ</t>
  </si>
  <si>
    <t>ΓΕΩΡΓΑΚΟΠΟΥΛΟΣ</t>
  </si>
  <si>
    <t>ΚΩΣΤΑΝΤΙΝΟΣ</t>
  </si>
  <si>
    <t>ΤΡΙΚΑΡΔΟΥ</t>
  </si>
  <si>
    <t>ΑΝΔΡΙΑΝΗ</t>
  </si>
  <si>
    <t>ΓΙΟΥΛΑ</t>
  </si>
  <si>
    <t>ΤΣΙΒΙΚΗ</t>
  </si>
  <si>
    <t>ΧΑΤΖΗΝΑ</t>
  </si>
  <si>
    <t>ΤΣΕΓΚΕΛΙΔΟΥ</t>
  </si>
  <si>
    <t>ΛΕΒΕΝΤΗ</t>
  </si>
  <si>
    <t>ΚΟΥΛΟΥΡΗΣ</t>
  </si>
  <si>
    <t>ΧΡΙΣΤΟΠΟΥΛΟΥ</t>
  </si>
  <si>
    <t>ΦΡΑΓΚΟΥΛΗΣ</t>
  </si>
  <si>
    <t>ΛΕΩΝΙΔΑΣ</t>
  </si>
  <si>
    <t>ΑΜΑΞΑΣ</t>
  </si>
  <si>
    <t>ΚΑΡΑΜΕΤΟΣ</t>
  </si>
  <si>
    <t>ΚΩΣΤΕΛΙΔΟΥ</t>
  </si>
  <si>
    <t>ΦΩΤΙΑΔΗΣ</t>
  </si>
  <si>
    <t>ΜΠΑΛΛΙΟΥ</t>
  </si>
  <si>
    <t>ΛΑΜΠΡΟΥΣΗ</t>
  </si>
  <si>
    <t>ΔΗΜΑΡΑ</t>
  </si>
  <si>
    <t>ΜΑΪΣΤΡΑΛΗ</t>
  </si>
  <si>
    <t>ΜΟΣΧΟΠΟΥΛΟΥ</t>
  </si>
  <si>
    <t>ΧΡΥΣΑΦΙΔΟΥ</t>
  </si>
  <si>
    <t>ΧΡΥΣΑΦΗΣ</t>
  </si>
  <si>
    <t>ΚΟΡΡΕΣ</t>
  </si>
  <si>
    <t>ΚΟΡΜΑΝΟΥ</t>
  </si>
  <si>
    <t>ΦΑΙΔΡΑ</t>
  </si>
  <si>
    <t>ΧΑΜΠΗΛΟΜΑΤΗ</t>
  </si>
  <si>
    <t>ΠΕΡΓΑΜΑΛΗΣ</t>
  </si>
  <si>
    <t>ΤΣΑΝΑΚΑΣ</t>
  </si>
  <si>
    <t>ΗΓΟΥΜΕΝΟΥ</t>
  </si>
  <si>
    <t>ΚΕΜΑΛΑΚΗ</t>
  </si>
  <si>
    <t>ΤΟΥΝΤΑΣ</t>
  </si>
  <si>
    <t>ΚΙΜΩΝ</t>
  </si>
  <si>
    <t>ΣΦΑΚΙΑΝΟΣ</t>
  </si>
  <si>
    <t>ΛΙΑΠΑΚΗ</t>
  </si>
  <si>
    <t>ΤΣΑΚΑΝΙΑΣ</t>
  </si>
  <si>
    <t>ΜΠΕΣΙΡΗ</t>
  </si>
  <si>
    <t>ΠΛΕΣΙΩΤΗ</t>
  </si>
  <si>
    <t>ΞΗΡΟΚΩΣΤΑ</t>
  </si>
  <si>
    <t>ΚΩΝΣΤΑΝΤΗ</t>
  </si>
  <si>
    <t>ΜΠΟΤΗ</t>
  </si>
  <si>
    <t>ΚΑΤΣΑΝΤΩΝΗ</t>
  </si>
  <si>
    <t>ΦΙΛΙΟΠΟΥΛΟΣ</t>
  </si>
  <si>
    <t>ΤΣΟΥΡΑΠΗ</t>
  </si>
  <si>
    <t>ΚΟΥΜΠΑΚΗ</t>
  </si>
  <si>
    <t>ΡΟΔΑΜΑ</t>
  </si>
  <si>
    <t>ΨΑΘΑΚΗ</t>
  </si>
  <si>
    <t>ΛΑΝΑΡΑ</t>
  </si>
  <si>
    <t>ΜΑΡΙΑ ΑΝΝΑ</t>
  </si>
  <si>
    <t>ΧΙΝΟΥ</t>
  </si>
  <si>
    <t>ΔΑΓΚΩΝΑΚΗ</t>
  </si>
  <si>
    <t>ΚΑΡΑΔΟΥΚΑΣ</t>
  </si>
  <si>
    <t>ΖΕΙΤΕΝΤΖΙΔΟΥ</t>
  </si>
  <si>
    <t>ΜΟΣΙΟΥ</t>
  </si>
  <si>
    <t>ΑΝΔΡΟΝΙΚΗ</t>
  </si>
  <si>
    <t>ΜΩΥΣΙΔΟΥ</t>
  </si>
  <si>
    <t>ΔΗΜΗΤΡΑΚΟΠΟΥΛΟΥ</t>
  </si>
  <si>
    <t>ΠΑΛΑΙΟΛΟΓΟΥ</t>
  </si>
  <si>
    <t>ΜΟΥΣΤΑΚΛΗΣ</t>
  </si>
  <si>
    <t>ΜΑΡΑΓΚΟΥ</t>
  </si>
  <si>
    <t>ΚΑΛΛΙΤΣΗ</t>
  </si>
  <si>
    <t>ΘΕΜΙΣΤΟΚΛΗΣ</t>
  </si>
  <si>
    <t>ΜΠΟΥΖΑΛΑΚΟΥ</t>
  </si>
  <si>
    <t>ΚΑΡΔΑΡΑΚΟΥ</t>
  </si>
  <si>
    <t>ΚΩΝΣΤΑΝΤΙΝΑ ΜΑΡΙΑ</t>
  </si>
  <si>
    <t>ΚΑΤΣΙΚΑ</t>
  </si>
  <si>
    <t>ΦΑΣΟΥΛΑΣ</t>
  </si>
  <si>
    <t>ΧΑΣΙΩΤΗ</t>
  </si>
  <si>
    <t>ΚΑΜΠΟΥΡΟΠΟΥΛΟΥ</t>
  </si>
  <si>
    <t>ΠΑΝΑΓΙΩΤΙΔΟΥ</t>
  </si>
  <si>
    <t>ΠΛΑΤΑΝΙΑ</t>
  </si>
  <si>
    <t>ΖΑΧΑΡΕΛΟΥ</t>
  </si>
  <si>
    <t>ΦΑΤΣΗ</t>
  </si>
  <si>
    <t>ΑΓΑΘΟΝΙΚΗ</t>
  </si>
  <si>
    <t>ΑΛΕΞΟΓΙΑΝΝΟΠΟΥΛΟΥ</t>
  </si>
  <si>
    <t>ΠΑΝΤΑ</t>
  </si>
  <si>
    <t>ΑΓΓΕΛΟΠΟΥΛΟΥ</t>
  </si>
  <si>
    <t>ΚΟΥΤΣΙΟΥΚΗ</t>
  </si>
  <si>
    <t>ΚΟΝΤΑΛΕΚΑ</t>
  </si>
  <si>
    <t>ΣΕΡΓΙΑΝΝΗ</t>
  </si>
  <si>
    <t>ΚΑΚΑΒΑΣ</t>
  </si>
  <si>
    <t>ΒΙΔΑΛΑΚΗ</t>
  </si>
  <si>
    <t>ΚΟΡΙΝΑ</t>
  </si>
  <si>
    <t>ΑΝΟΥΣΑΚΗ</t>
  </si>
  <si>
    <t>ΚΑΡΒΟΥΝΗ</t>
  </si>
  <si>
    <t>ΜΑΝΩΛΙΚΑΚΗ</t>
  </si>
  <si>
    <t>ΜΠΕΛΗ</t>
  </si>
  <si>
    <t>ΜΠΟΥΡΗ</t>
  </si>
  <si>
    <t>ΚΡΑΒΑΡΙΩΤΗ</t>
  </si>
  <si>
    <t>ΠΡΟΚΟΠΙΟΣ</t>
  </si>
  <si>
    <t>ΣΑΜΠΑΝΗ</t>
  </si>
  <si>
    <t>ΜΑΤΣΚΙΔΟΥ</t>
  </si>
  <si>
    <t>ΙΣΙΔΩΡΑ</t>
  </si>
  <si>
    <t>ΖΑΧΑΡΟΠΟΥΛΟΣ</t>
  </si>
  <si>
    <t>ΗΛΙΑΚΟΠΟΥΛΟΥ</t>
  </si>
  <si>
    <t>ΡΑΜΠΑΝΤΙ</t>
  </si>
  <si>
    <t>ΣΑΛΑΜΕ</t>
  </si>
  <si>
    <t>ΔΟΛΓΗΡΑ</t>
  </si>
  <si>
    <t>ΚΑΡΑΙΣΚΟΥ</t>
  </si>
  <si>
    <t>ΛΑΙΝΑ</t>
  </si>
  <si>
    <t>ΚΑΠΛΙΤΖΟΓΛΟΥ</t>
  </si>
  <si>
    <t>ΠΕΤΡΙΔΟΥ</t>
  </si>
  <si>
    <t>ΠΕΝΘΕΣΙΛΕΙΑ</t>
  </si>
  <si>
    <t>ΖΙΓΚΦΡΙΝΤ</t>
  </si>
  <si>
    <t>ΜΑΝΤΖΟΥ</t>
  </si>
  <si>
    <t>ΚΟΥΡΟΥ</t>
  </si>
  <si>
    <t>ΞΕΠΑΠΑΔΑΚΗ</t>
  </si>
  <si>
    <t>ΖΩΓΡΑΦΟΣ</t>
  </si>
  <si>
    <t>ΜΑΡΙΑΝΘΗ ΟΛΓΑ</t>
  </si>
  <si>
    <t>ΖΑΧΑΡΙΟΥΔΑΚΗΣ</t>
  </si>
  <si>
    <t>ΚΑΡΟΥΤΗ</t>
  </si>
  <si>
    <t>ΙΣΑΒΕΛΛΑ ΔΗΜΗΤΡΑ</t>
  </si>
  <si>
    <t>ΚΑΛΠΑΚΙΔΟΥ</t>
  </si>
  <si>
    <t>ΑΥΓΕΝΑΚΗ</t>
  </si>
  <si>
    <t>ΒΙΡΓΙΝΙΑ</t>
  </si>
  <si>
    <t>ΓΚΙΜΙΤΖΟΥΔΗΣ</t>
  </si>
  <si>
    <t>ΧΟΥΔΑΒΕΡΔΗ ΖΑΜΑΝΑΚΟΥ</t>
  </si>
  <si>
    <t xml:space="preserve">ΕΥΔΟΞΙΑ </t>
  </si>
  <si>
    <t>ΜΠΟΣΝΑΚΙΔΗΣ</t>
  </si>
  <si>
    <t>ΘΕΟΚΛΗΤΟΣ</t>
  </si>
  <si>
    <t>ΧΑΤΖΗΓΕΩΡΓΙΟΥ</t>
  </si>
  <si>
    <t>ΚΟΥΣΗ</t>
  </si>
  <si>
    <t>ΕΡΜΟΦΥΛΗ</t>
  </si>
  <si>
    <t>ΤΣΙΡΕΛΗΣ</t>
  </si>
  <si>
    <t>ΣΠΥΡΙΔΗ</t>
  </si>
  <si>
    <t>ΤΣΕΛΕΝΤΗΣ</t>
  </si>
  <si>
    <t>ΝΙΚΟΛΑΟΣ ΠΑΝΑΓΙΩΤΗΣ</t>
  </si>
  <si>
    <t>ΦΟΥΡΚΙΩΤΗ</t>
  </si>
  <si>
    <t>ΘΕΟΧΑΡΙΔΗ</t>
  </si>
  <si>
    <t>ΠΟΥΠΑΚΗ</t>
  </si>
  <si>
    <t>ΤΣΩΡΟΣ</t>
  </si>
  <si>
    <t>ΑΝΔΡΕΟΥ</t>
  </si>
  <si>
    <t>ΠΟΛΥΔΩΡΟΣ</t>
  </si>
  <si>
    <t>ΠΙΠΙΛΑ</t>
  </si>
  <si>
    <t>ΚΗΠΟΥΡΟΥ</t>
  </si>
  <si>
    <t>ΤΣΙΚΑΡΔΩΝΗ</t>
  </si>
  <si>
    <t>ΑΡΓΥΡΙΝΑ</t>
  </si>
  <si>
    <t>ΒΥΣΣΙΑ</t>
  </si>
  <si>
    <t>ΠΑΠΑΡΙΔΗ</t>
  </si>
  <si>
    <t>ΤΣΙΤΣΑΡΗ</t>
  </si>
  <si>
    <t>ΕΙΡΗΝΗ-ΗΡΩ</t>
  </si>
  <si>
    <t>ΘΕΟΔΩΡΟΠΟΥΛΟΣ</t>
  </si>
  <si>
    <t>ΚΟΚΟΒΟΥ</t>
  </si>
  <si>
    <t>ΠΗΤΑ</t>
  </si>
  <si>
    <t>ΔΕΛΙΑΓΑ</t>
  </si>
  <si>
    <t>ΠΟΥΡΝΑΡΑ</t>
  </si>
  <si>
    <t>ΚΟΝΤΟΥΛΗ</t>
  </si>
  <si>
    <t>ΠΑΧΗ</t>
  </si>
  <si>
    <t>ΘΩΜΑΙΣ ΙΣΟΛΑ</t>
  </si>
  <si>
    <t>ΓΚΕΣΟΥΛΗ</t>
  </si>
  <si>
    <t>Καζάκη</t>
  </si>
  <si>
    <t>Σοφία</t>
  </si>
  <si>
    <t>ΡΑΠΑΝΤΑ</t>
  </si>
  <si>
    <t>ΛΙΑΠΗΣ</t>
  </si>
  <si>
    <t>ΠΑΠΑΚΩΝΣΤΑΝΤΙΝΟΥ</t>
  </si>
  <si>
    <t>ΚΟΡΟΞΕΝΙΔΗΣ</t>
  </si>
  <si>
    <t>ΧΑΤΖΗΦΩΤΑΚΗ</t>
  </si>
  <si>
    <t>Φύττας</t>
  </si>
  <si>
    <t>Θεόδωρος</t>
  </si>
  <si>
    <t>Χαράλαμπος</t>
  </si>
  <si>
    <t>ΖΑΦΕΙΡΗ</t>
  </si>
  <si>
    <t>ΜΟΣΧΑΚΗ</t>
  </si>
  <si>
    <t>ΔΟΥΚΙΑΝΟΣ</t>
  </si>
  <si>
    <t>ΘΡΑΣΥΒΟΥ</t>
  </si>
  <si>
    <t>ΣΤΑΜΟΥ</t>
  </si>
  <si>
    <t>ΛΟΥΚΙΑ</t>
  </si>
  <si>
    <t>ΛΙΓΓΕΡΙΔΟΥ</t>
  </si>
  <si>
    <t>ΧΕΛΙΑΤΣΙΔΟΥ</t>
  </si>
  <si>
    <t>ΣΩΜΑΡΑΣ</t>
  </si>
  <si>
    <t>ΙΩΑΝΝ</t>
  </si>
  <si>
    <t>ΑΝΔΡΕΑ</t>
  </si>
  <si>
    <t>ΛΕΜΟΝΑΚΗΣ</t>
  </si>
  <si>
    <t>ΞΑΝΘΟΠΟΥΛΟΥ</t>
  </si>
  <si>
    <t>BAΡΒΑΡΑ</t>
  </si>
  <si>
    <t>ΠΑΓΙΑΒΛΗ</t>
  </si>
  <si>
    <t>ΟΔΑΤΖΙΔΟΥ</t>
  </si>
  <si>
    <t>ΠΑΝΤΕΧΗ</t>
  </si>
  <si>
    <t>ΛΑΖΟ</t>
  </si>
  <si>
    <t>ΜΠΟΥΡΑΣ</t>
  </si>
  <si>
    <t>ΧΡΥΣΟΣΤΟΜΟΣ</t>
  </si>
  <si>
    <t>ΣΟΥΒΛΕΡΗ</t>
  </si>
  <si>
    <t>ΠΑΠΑΖΑΧΑΡΙΑ</t>
  </si>
  <si>
    <t>ΖΑΧΑΡΟΥΛΑ</t>
  </si>
  <si>
    <t>ΓΟΥΣΗ</t>
  </si>
  <si>
    <t>ΜΙΣΑΗΛΙΔΟΥ</t>
  </si>
  <si>
    <t>ΣΔΟΥΓΚΑ</t>
  </si>
  <si>
    <t>ΕΙΡΗΝΗ ΑΝΑΣΤΑΣΙΑ</t>
  </si>
  <si>
    <t>ΚΑΜΠΑΣΤΑΝΑ</t>
  </si>
  <si>
    <t>ΘΕΛΕΡΙΤΗ</t>
  </si>
  <si>
    <t>ΣΟΥΡΙΛΑ</t>
  </si>
  <si>
    <t>ΝΤΖΕΛΒΕ</t>
  </si>
  <si>
    <t>ΑΓΟΡΟΥΛΑ</t>
  </si>
  <si>
    <t>ΚΑΝΤΙΦΟΥΔΗΣ</t>
  </si>
  <si>
    <t>ΓΙΑΝΝΑΚΟΥΔΗ</t>
  </si>
  <si>
    <t>ΝΙΚΗΤΟΠΟΥΛΟΣ</t>
  </si>
  <si>
    <t>ΔΗΜΟΜΕΛΕΤΗΣ</t>
  </si>
  <si>
    <t>ΤΑΜΤΑΜΗ</t>
  </si>
  <si>
    <t>ΚΟΝΤΑΚΤΣΗΣ</t>
  </si>
  <si>
    <t>ΣΤΡΟΥΜΠΟΥΛΗ</t>
  </si>
  <si>
    <t>ΓΚΟΥΝΤΟΥΛΑΚΗ</t>
  </si>
  <si>
    <t>ΣΤΑΜΟΣ</t>
  </si>
  <si>
    <t>ΜΠΓΙΑΛΑ</t>
  </si>
  <si>
    <t>ΒΑϊΑ</t>
  </si>
  <si>
    <t>ΣΚΛΑΒΟΥ</t>
  </si>
  <si>
    <t>ΠΕΤΤΑ</t>
  </si>
  <si>
    <t>ΚΑΤΣΟΧΕΙΡΑΚΗ</t>
  </si>
  <si>
    <t>ΑΓΛΑΪΑ</t>
  </si>
  <si>
    <t>ΣΤΕΦΑΝΟΠΟΥΛΟΣ</t>
  </si>
  <si>
    <t>ΖΑΚΑ</t>
  </si>
  <si>
    <t>ΜΑΡΙΝΕΛΑ</t>
  </si>
  <si>
    <t>ΝΕΣΤΗ</t>
  </si>
  <si>
    <t>ΚΑΛΟΥΔΗ</t>
  </si>
  <si>
    <t>ΜΠΙΤΣΑΚΑΚΗ</t>
  </si>
  <si>
    <t>ΛΟΗ</t>
  </si>
  <si>
    <t>ΑΔΑΜΑΝΤΙΑ-ΑΛΕΞΑΝΔΡΑ</t>
  </si>
  <si>
    <t>ΜΙΧΑΛΑ</t>
  </si>
  <si>
    <t>ΤΑΤΣΗ</t>
  </si>
  <si>
    <t>ΙΩΑΝΝΙΔΗΣ</t>
  </si>
  <si>
    <t>ΤΣΟΜΠΑΝΗ</t>
  </si>
  <si>
    <t>ΚΩΝΣΤΑΝΤΙΝΙΑ</t>
  </si>
  <si>
    <t>ΧΡΥΣΟΓΩΝΗΣ</t>
  </si>
  <si>
    <t>ΤΕΡΖΟΓΛΟΥ</t>
  </si>
  <si>
    <t>ΑΚΥΛΑΣ</t>
  </si>
  <si>
    <t>ΣΑΡΑΦΗ</t>
  </si>
  <si>
    <t>ΓΑΒΡΙΑ</t>
  </si>
  <si>
    <t>ΕΥΑΝΘΙΑ</t>
  </si>
  <si>
    <t>ΓΚΟΓΚΑΣ</t>
  </si>
  <si>
    <t>ΤΣΑΚΑΛΙΔΗΣ</t>
  </si>
  <si>
    <t>ΒΕΝΕΤΣΑΝΟΥ</t>
  </si>
  <si>
    <t>ΓΙΟΥΛΔΟΥΡΗ</t>
  </si>
  <si>
    <t>ΜΠΑΜΗ</t>
  </si>
  <si>
    <t>ΣΤΑΜΑΤΩ</t>
  </si>
  <si>
    <t>ΣΩΤΗΡΗΣ</t>
  </si>
  <si>
    <t>ΒΑΣΙΛΑΚΟΥ</t>
  </si>
  <si>
    <t>ΡΙΖΟΥ</t>
  </si>
  <si>
    <t>ΜΠΟΥΓΑΙΔΗΣ</t>
  </si>
  <si>
    <t>ΤΕΛΛΙΟΥ</t>
  </si>
  <si>
    <t>ΤΡΙΑΝΤΑΦΥΛΛΙΑ</t>
  </si>
  <si>
    <t>ΕΥΣΤΑΘΙΟΥ</t>
  </si>
  <si>
    <t>ΟΔΥΣΣΕΑΣ</t>
  </si>
  <si>
    <t>ΚΟΤΖΑΙ</t>
  </si>
  <si>
    <t>ΤΖΟΥΛΙΑΝΑ</t>
  </si>
  <si>
    <t>ΛΟΥΑΝ</t>
  </si>
  <si>
    <t>ΛΑΜΠΡΟΠΟΥΛΟΥ</t>
  </si>
  <si>
    <t>ΔΗΜΑΣΗΣ</t>
  </si>
  <si>
    <t>ΚΟΥΓΙΑΛΗ</t>
  </si>
  <si>
    <t>ΣΤΕΡΕΚΑ</t>
  </si>
  <si>
    <t>ΜΑΡΙΑ - ΕΛΕΝΗ - ΕΙΡΗΝΗ</t>
  </si>
  <si>
    <t>ΚΑΤΣΙΦΑ</t>
  </si>
  <si>
    <t>ΚΑΝΤΙΩ</t>
  </si>
  <si>
    <t>ΜΥΚΟΝΙΑΤΗ ΜΥΚΟΝΙΑΤΕΛΗ</t>
  </si>
  <si>
    <t>ΑΝΑΣΤΑΣΙΑ ΜΑΡΙΑ</t>
  </si>
  <si>
    <t>ΚΑΡΑΒΑΣΙΛΑ</t>
  </si>
  <si>
    <t>ΛΥΜΤΣΙΟΥΛΗ</t>
  </si>
  <si>
    <t>ΠΟΛΥΔΩΡΟΥ</t>
  </si>
  <si>
    <t>ΜΑΡΤΙΔΗΣ</t>
  </si>
  <si>
    <t>ΚΑΝΑΒΟΥ</t>
  </si>
  <si>
    <t>ΚΟΡΔΑ</t>
  </si>
  <si>
    <t>ΚΟΥΤΣΗ</t>
  </si>
  <si>
    <t>ΚΥΤΟΥΓΙΑ</t>
  </si>
  <si>
    <t>ΣΙΛΟΣΙΔΟΥ</t>
  </si>
  <si>
    <t>ΓΚΟΡΙΤΣΑ</t>
  </si>
  <si>
    <t>ΚΩΣΤΟΥΛΑΣ</t>
  </si>
  <si>
    <t>ΣΟΥΡΛΑ</t>
  </si>
  <si>
    <t>ΒΙΤΑΝΟΠΟΥΛΟΥ</t>
  </si>
  <si>
    <t>ΓΟΡΓΟΛΗ</t>
  </si>
  <si>
    <t>ΨΗΛΟΥ</t>
  </si>
  <si>
    <t>ΗΛΙΟΠΟΥΛΟΣ</t>
  </si>
  <si>
    <t>ΣΚΟΥΡΦΟΥΝΤΑ</t>
  </si>
  <si>
    <t>ΖΩΤΟΣ</t>
  </si>
  <si>
    <t>ΜΑΙΣΤΡΟΣ</t>
  </si>
  <si>
    <t>ΒΑΜΒΑΚΑ</t>
  </si>
  <si>
    <t>ΠΕΡΟΥΛΑ</t>
  </si>
  <si>
    <t>ΠΑΝΤΑΖΟΠΟΥΛΟΥ</t>
  </si>
  <si>
    <t>ΒΑΛΑΣΙΑ</t>
  </si>
  <si>
    <t>ΜΠΟΥΦΙΚΟΥ</t>
  </si>
  <si>
    <t>ΑΓΟΡΙΤΣΑ</t>
  </si>
  <si>
    <t>ΖΑΡΓΑΝΗ</t>
  </si>
  <si>
    <t>ΧΑΡΙΣ-ΑΙΚΑΤΕΡΙΝΗ</t>
  </si>
  <si>
    <t>ΜΗΝΙΑΔΗΣ</t>
  </si>
  <si>
    <t>ΜΠΡΑΤΣΟΥ</t>
  </si>
  <si>
    <t>ΛΥΔΙΑ ΓΛΥΚΕΡΙΑ</t>
  </si>
  <si>
    <t>ΑΥΓΕΡΟΥ</t>
  </si>
  <si>
    <t>ΝΙΚΗ</t>
  </si>
  <si>
    <t>ΑΡΓΥΡΙΟΥ</t>
  </si>
  <si>
    <t>ΔΗΜΗΤΡΙΟ</t>
  </si>
  <si>
    <t>ΚΑΡΦΗ</t>
  </si>
  <si>
    <t>ΧΡΙΣΤΙΑΝΑ</t>
  </si>
  <si>
    <t>ΜΑΥΡΟΕΙΔΗ</t>
  </si>
  <si>
    <t>ΜΠΡΟΥΝΤΖΑΣ</t>
  </si>
  <si>
    <t>ΠΑΣΑΔΑΚΗΣ</t>
  </si>
  <si>
    <t>ΚΟΛΙΟΥ</t>
  </si>
  <si>
    <t>ΚΑΛΑΜΠΑΛΙΚΗΣ</t>
  </si>
  <si>
    <t>ΜΙΧΟΠΟΥΛΟΥ</t>
  </si>
  <si>
    <t>ΓΙΑΤΡΑ</t>
  </si>
  <si>
    <t>ΜΑΡΙΑ ΔΙΟΝΥΣΙΑ</t>
  </si>
  <si>
    <t>ΚΑΝΤΑΡΤΖΟΠΟΥΛΟΥ</t>
  </si>
  <si>
    <t>ΗΛΙΑ</t>
  </si>
  <si>
    <t>ΣΙΔΕΡΗ</t>
  </si>
  <si>
    <t>ΚΩΤΣΗ</t>
  </si>
  <si>
    <t>ΑΥΓΕΡΗΣ</t>
  </si>
  <si>
    <t>ΔΕΡΜΕΝΤΖΙΔΗΣ</t>
  </si>
  <si>
    <t>ΚΟΚΚΟΡΟΥ</t>
  </si>
  <si>
    <t>ΧΟΝΔΡΟΥ</t>
  </si>
  <si>
    <t>ΜΑΝΤΖΙΑΡΗ</t>
  </si>
  <si>
    <t>ΑΡΛΕΤΟΣ</t>
  </si>
  <si>
    <t>ΣΦΟΥΓΓΑΤΟΥ</t>
  </si>
  <si>
    <t>ΚΟΤΡΩΤΣΙΟΥ</t>
  </si>
  <si>
    <t>ΜΠΙΖΟΓΛΟΥ</t>
  </si>
  <si>
    <t>ΚΟΡΚΟΣ</t>
  </si>
  <si>
    <t>ΧΑΤΖΑΚΗ</t>
  </si>
  <si>
    <t>ΑΝΤΩΝΙΑ ΓΕΩΡΓΙΑ</t>
  </si>
  <si>
    <t>ΒΕΤΤΟΣ</t>
  </si>
  <si>
    <t>ΠΑΤΣΟΥ</t>
  </si>
  <si>
    <t>ΚΡΕΒΕΤΖΑΚΗ</t>
  </si>
  <si>
    <t>ΔΡΙΒΑ</t>
  </si>
  <si>
    <t>ΓΙΑΝΝΑΚΟΠΟΥΛΟΣ</t>
  </si>
  <si>
    <t>ΑΓΑΘΟΣ</t>
  </si>
  <si>
    <t>ΛΙΟΥΛΙΑ</t>
  </si>
  <si>
    <t>ΓΕΩΡΓΙΑ ΜΑΡΙΑ</t>
  </si>
  <si>
    <t>ΑΔΑΜΑΝΤΙΑ</t>
  </si>
  <si>
    <t>ΝΟΥΛΕΛΛΗ</t>
  </si>
  <si>
    <t>ΧΡΙΣΤΟΦΑΣ</t>
  </si>
  <si>
    <t>ΧΩΤΟΥ</t>
  </si>
  <si>
    <t>ΠΕΡΓΑΝΤΗ</t>
  </si>
  <si>
    <t>ΜΑΝΙΚΑ</t>
  </si>
  <si>
    <t>ΚΟΤΣΙΑΛΟΥ</t>
  </si>
  <si>
    <t>ΚΑΡΑΜΠΑ</t>
  </si>
  <si>
    <t xml:space="preserve">ΑΙΚΑΤΕΡΙΝΗ </t>
  </si>
  <si>
    <t xml:space="preserve">ΑΠΟΣΤΟΛΟΣ </t>
  </si>
  <si>
    <t>ΚΑΛΟΥΔΗΣ</t>
  </si>
  <si>
    <t>ΔΑΚΑ</t>
  </si>
  <si>
    <t>ΓΑΡΥΦΑΛΛΙΑ</t>
  </si>
  <si>
    <t>ΜΑΛΑΜΑΤΕΝΙΟΥ</t>
  </si>
  <si>
    <t xml:space="preserve">ΦΟΥΝΤΟΡΑΔΑΚΗ </t>
  </si>
  <si>
    <t>ΚΩΣΤΑΚΗ</t>
  </si>
  <si>
    <t>ΚΑΡΑΤΩΛΟΥ</t>
  </si>
  <si>
    <t xml:space="preserve">ΣΟΦΙΑ </t>
  </si>
  <si>
    <t>ΜΕΣΣΑ</t>
  </si>
  <si>
    <t>ΚΥΡΓΙΑΝΝΑΚΗ</t>
  </si>
  <si>
    <t>ΝΤΙΝΟΠΟΥΛΟΣ</t>
  </si>
  <si>
    <t>ΜΗΤΡΑΓΚΑ</t>
  </si>
  <si>
    <t>ΚΟΛΟΚΥΘΑ</t>
  </si>
  <si>
    <t>ΣΤΑΜΑΤΑ</t>
  </si>
  <si>
    <t>ΜΟΥΣΟΥΛΗΣ</t>
  </si>
  <si>
    <t>ΧΑΝΝΟ ΔΕΜΕΡΟΥΚΑ</t>
  </si>
  <si>
    <t>ΜΟΥΡΙΣ</t>
  </si>
  <si>
    <t>ΓΚΑΖΕΜΠΑΣ</t>
  </si>
  <si>
    <t>ΠΑΡΑΣΚΕΥΟΠΟΥΛΟΥ</t>
  </si>
  <si>
    <t>ΣΥΜΕΛΑ</t>
  </si>
  <si>
    <t>ΧΑΤΖΟΠΛΑΚΗ</t>
  </si>
  <si>
    <t>ΠΛΑΚΑΣ</t>
  </si>
  <si>
    <t>ΝΑΟΥΜ</t>
  </si>
  <si>
    <t>ΚΙΟΥΡΤΙΔΟΥ</t>
  </si>
  <si>
    <t>ΧΑΤΖΗΑΠΟΣΤΟΛΟΥ</t>
  </si>
  <si>
    <t>ΜΑΝΩΛΟΠΟΥΛΟΣ</t>
  </si>
  <si>
    <t>ΚΑΛΠΑΚΗ</t>
  </si>
  <si>
    <t>ΠΑΡΘΕΝΙΟΥ</t>
  </si>
  <si>
    <t>ΚΑΛΟΓΕΡΑΣ</t>
  </si>
  <si>
    <t>ΤΖΑΝΙΔΑΚΗ</t>
  </si>
  <si>
    <t>ΜΥΛΩΝΑΣ</t>
  </si>
  <si>
    <t>ΠΑΡΤΣΑΝΑΚΗ</t>
  </si>
  <si>
    <t>ΠΑΠΑΖΗΣΗ</t>
  </si>
  <si>
    <t>ΓΚΟΡΟΓΙΑ</t>
  </si>
  <si>
    <t>ΖΑΡΡΑ</t>
  </si>
  <si>
    <t>ΣΒΕΡΚΑ</t>
  </si>
  <si>
    <t>ΜΠΕΤΧΑΒΑ</t>
  </si>
  <si>
    <t>ΞΑΡΜΗΝΙΑ ΧΡΙΣΤΙΝΑ</t>
  </si>
  <si>
    <t>ΚΑΡΑΠΑ</t>
  </si>
  <si>
    <t>ΦΛΩΡΑ</t>
  </si>
  <si>
    <t>ΠΕΤΡΟΠΟΥΛΟΣ</t>
  </si>
  <si>
    <t>ΣΠΥΡΟΣ ΓΕΩΡΓΙΟΣ</t>
  </si>
  <si>
    <t>ΧΑΤΖΗ</t>
  </si>
  <si>
    <t>ΣΕΛΛΑ</t>
  </si>
  <si>
    <t>Λιόντας</t>
  </si>
  <si>
    <t xml:space="preserve">Γεώργιος </t>
  </si>
  <si>
    <t xml:space="preserve">Αθανάσιος </t>
  </si>
  <si>
    <t>ΑΝΔΡΙΤΣΟΣ</t>
  </si>
  <si>
    <t>ΠΑΛΑΙΟΔΗΜΟΥ</t>
  </si>
  <si>
    <t>ΛΑΖΑΡΙΑ</t>
  </si>
  <si>
    <t>ΠΑΠΑΔΑΚΗΣ</t>
  </si>
  <si>
    <t>ΔΑΜΙΓΟΣ</t>
  </si>
  <si>
    <t>ΚΑΖΑΚΟΥ-ΠΑΠΑΔΟΝΙΚΟΥ</t>
  </si>
  <si>
    <t>ΚΡΥΣΤΑΛΛΕΝΙΑ</t>
  </si>
  <si>
    <t>ΤΣΩΛΑ</t>
  </si>
  <si>
    <t>ΚΑΛΔΗΣ</t>
  </si>
  <si>
    <t>ΤΣΙΡΚΑΣ</t>
  </si>
  <si>
    <t>ΚΑΤΩΠΟΔΗ</t>
  </si>
  <si>
    <t>ΔΑΦΝΟΥΔΗ</t>
  </si>
  <si>
    <t>ΤΣΟΝΟΥ</t>
  </si>
  <si>
    <t>ΜΗΛΙΤΣΑ</t>
  </si>
  <si>
    <t>ΧΑΡΙΤΟΣ</t>
  </si>
  <si>
    <t>ΜΑΘΙΟΥΔΑΚΗΣ</t>
  </si>
  <si>
    <t>ΚΩΣΤΟΓΛΟΥ</t>
  </si>
  <si>
    <t>ΣΙΟΥΛΑΣ</t>
  </si>
  <si>
    <t>ΑΛΕΒΥΖΑΚΗ</t>
  </si>
  <si>
    <t>ΧΥΜΑ</t>
  </si>
  <si>
    <t>ΜΟΣΧΟΒΙΤΗΣ</t>
  </si>
  <si>
    <t>ΒΕΛΛΗ</t>
  </si>
  <si>
    <t>ΚΑΡΑΓΕΩΡΓΟΠΟΥΛΟΥ</t>
  </si>
  <si>
    <t>ΚΑΣΣΗ</t>
  </si>
  <si>
    <t>ΚΥΡΙΑΚΟΥΛΗΣ</t>
  </si>
  <si>
    <t>ΑΣΜΙΝΗ</t>
  </si>
  <si>
    <t>ΜΑΣΤΡΟΓΙΩΡΓΑΚΗΣ</t>
  </si>
  <si>
    <t>ΓΙΑΝΝΑΚΟΥΔΑΚΗ</t>
  </si>
  <si>
    <t>ΝΤΟΥΣΛΑΤΖΗ</t>
  </si>
  <si>
    <t>ΚΩΝΣΤΑΝΤΑΚΟΣ</t>
  </si>
  <si>
    <t>ΜΙΧΑΛΑΚΙΔΗΣ</t>
  </si>
  <si>
    <t>ΚΑΠΡΑΛΟΣ</t>
  </si>
  <si>
    <t>ΒΛΟΓΙΑΡΗ</t>
  </si>
  <si>
    <t>ΚΑΝΕΛΛΑ</t>
  </si>
  <si>
    <t>ΓΕΡΓΗ</t>
  </si>
  <si>
    <t>ΒΑΓΓΟΥ</t>
  </si>
  <si>
    <t>ΣΙΟΥΤΟΓΛΟΥ</t>
  </si>
  <si>
    <t>ΓΕΩΡΓΙΑ ΒΑΙΑ</t>
  </si>
  <si>
    <t>ΤΣΑΦΑΛΟΠΟΥΛΟΥ</t>
  </si>
  <si>
    <t xml:space="preserve">ΑΝΤΩΝΙΑ </t>
  </si>
  <si>
    <t>ΤΕΡΖΗΣ</t>
  </si>
  <si>
    <t>ΓΙΑΝΝΗ</t>
  </si>
  <si>
    <t>ΣΑΚΚΕΤΟΣ</t>
  </si>
  <si>
    <t>ΤΥΜΠΑ</t>
  </si>
  <si>
    <t>ΠΑΠΑΝΗΣ</t>
  </si>
  <si>
    <t>ΛΑΠΠΑ</t>
  </si>
  <si>
    <t>ΚΕΦΑΛΙΔΗΣ</t>
  </si>
  <si>
    <t>ΠΑΠΑΚΩΣΤΑΣ</t>
  </si>
  <si>
    <t>ΧΑΝΤΖΗ</t>
  </si>
  <si>
    <t>ΦΑΤΣΕΑ</t>
  </si>
  <si>
    <t>Σαμαρας</t>
  </si>
  <si>
    <t>Αριστομένης</t>
  </si>
  <si>
    <t>ΧΟΡΟΖΟΓΛΟΥ</t>
  </si>
  <si>
    <t>ΑΡΤΕΜΙΣΑ</t>
  </si>
  <si>
    <t>ΠΑΟΥΛΙΝ</t>
  </si>
  <si>
    <t>ΔΑΡΜΑΝΙΝ</t>
  </si>
  <si>
    <t>ΦΟΥΦΑ</t>
  </si>
  <si>
    <t>ΝΙΚΟΠΟΥΛΟΥ</t>
  </si>
  <si>
    <t>ΓΙΑΝΝΟΠΟΥΛΟΥ</t>
  </si>
  <si>
    <t>ΑΡΙΣΤΟΥΛΑ</t>
  </si>
  <si>
    <t>ΚΟΚΚΙΝΑΚΗ</t>
  </si>
  <si>
    <t>ΠΑΠΑΓΙΑΝΝΟΠΟΥΛΟΥ</t>
  </si>
  <si>
    <t>ΡΟΥΜΕΛΙΩΤΗΣ</t>
  </si>
  <si>
    <t>ΜΕΜΕΖΑΣ</t>
  </si>
  <si>
    <t>ΒΛΑΜΗ</t>
  </si>
  <si>
    <t>ΔΗΜΗΤΡΑ ΤΟΝΙΑ</t>
  </si>
  <si>
    <t>ΧΑΡΑΜΟΓΛΟΥ</t>
  </si>
  <si>
    <t>ΜΑΝΩΛΑΚΗ</t>
  </si>
  <si>
    <t>ΚΑΡΑΚΑΣΗ</t>
  </si>
  <si>
    <t>ΣΟΡΟΒΙΓΚΑ</t>
  </si>
  <si>
    <t>ΠΑΠΑΓΡΗΓΟΡΙΟΥ</t>
  </si>
  <si>
    <t>ΣΟΦΡΑΣ</t>
  </si>
  <si>
    <t>ΠΛΑΤΗ</t>
  </si>
  <si>
    <t>ΛΥΜΟΥΡΑ</t>
  </si>
  <si>
    <t>ΗΛΕΚΤΡΙΔΟΥ</t>
  </si>
  <si>
    <t>ΨΥΧΟΓΙΟΣ</t>
  </si>
  <si>
    <t>ΤΣΙΧΛΗΣ</t>
  </si>
  <si>
    <t xml:space="preserve">ΙΩΑΝΝΗΣ </t>
  </si>
  <si>
    <t>ΕΥΑΓΓΕΛΟΥ</t>
  </si>
  <si>
    <t>ΔΕΣΥΠΡΗ</t>
  </si>
  <si>
    <t>ΣΤΑΜΑΤΙΑΔΟΥ</t>
  </si>
  <si>
    <t>ΒΑΛΕΝΤΙΝΗ</t>
  </si>
  <si>
    <t>ΤΣΙΓΓΕΡΙΔΗΣ</t>
  </si>
  <si>
    <t>ΠΙΠΠΑΣ</t>
  </si>
  <si>
    <t>ΜΑΤΘΑΙΟΥ</t>
  </si>
  <si>
    <t>ΚΟΥΡΕΠΗ</t>
  </si>
  <si>
    <t>ΧΡΙΣΤ</t>
  </si>
  <si>
    <t>ΜΕΝΗ</t>
  </si>
  <si>
    <t>ΛΕΜΟΝΙΑ</t>
  </si>
  <si>
    <t>ΒΑΖΑΚΙΔΟΥ</t>
  </si>
  <si>
    <t>ΝΤΙΝΑ</t>
  </si>
  <si>
    <t>ΦΕΡΟΝΙΚΗ</t>
  </si>
  <si>
    <t>ΧΑΤΖΗΒΑΣΙΛΕΙΟΥ</t>
  </si>
  <si>
    <t>ΑΚΡΙΤΟΠΟΥΛΟΥ</t>
  </si>
  <si>
    <t>ΝΤΑΝΟΒΑΣΙΛΗ</t>
  </si>
  <si>
    <t>ΒΕΡΕΜΗ</t>
  </si>
  <si>
    <t>ΜΙΧΤΟΠΟΥΛΟΥ</t>
  </si>
  <si>
    <t>ΑΧΙΛΛΕΥΣ</t>
  </si>
  <si>
    <t>ΚΑΡΑΘΑΝΟΥ</t>
  </si>
  <si>
    <t>ΑΝΤΙΣΘΕΝΗΣ</t>
  </si>
  <si>
    <t>ΠΟΙΜΕΝΙΔΗΣ</t>
  </si>
  <si>
    <t>ΠΑΓΚΑΚΗ</t>
  </si>
  <si>
    <t>ΜΑΡΙΑ-ΜΑΛΒΙΝΑ</t>
  </si>
  <si>
    <t>ΝΕΣΤΟΡΑΣ</t>
  </si>
  <si>
    <t>ΤΣΑΛΑΣ</t>
  </si>
  <si>
    <t>ΣΤΕΦΑΝΟΥΔΑΚΗΣ</t>
  </si>
  <si>
    <t>ΑΡΙΣΤΟΔΗΜΟΣ</t>
  </si>
  <si>
    <t>ΦΡΙΓΓΗ</t>
  </si>
  <si>
    <t>ΤΡΙΑΝΤΑΦΥΛΛΟΠΟΥΛΟΣ</t>
  </si>
  <si>
    <t>ΝΑΠΟΛΕΩΝ</t>
  </si>
  <si>
    <t>ΡΑΠΑΝΑΚΗ</t>
  </si>
  <si>
    <t>ΡΟΓΔΑΚΗ</t>
  </si>
  <si>
    <t>ΜΕΤΑΞΑ</t>
  </si>
  <si>
    <t>ΕΜΜΑΝΟΥΗΛΙΔΗΣ</t>
  </si>
  <si>
    <t>ΒΑΝΗ</t>
  </si>
  <si>
    <t>ΚΑΡΑΤΑΣΟΥ</t>
  </si>
  <si>
    <t>ΣΠΙΝΘΑΚΗ</t>
  </si>
  <si>
    <t>ΟΛΥΜΠΙΑΔΑ</t>
  </si>
  <si>
    <t>ΒΕΛΙΣΣΑΡΟΠΟΥΛΟΥ</t>
  </si>
  <si>
    <t>ΒΑΣΙΛΑΡΑ</t>
  </si>
  <si>
    <t>ΚΕΜΟΥ</t>
  </si>
  <si>
    <t>ΠΟΛΥΜΕΡΗ</t>
  </si>
  <si>
    <t>ΣΟΥΣΑΝΑ</t>
  </si>
  <si>
    <t>ΚΑΡΑΜΠΑΜΠΑΣ</t>
  </si>
  <si>
    <t>ΧΑΤΖΗΧΑΡΑΛΑΜΠΟΥ</t>
  </si>
  <si>
    <t>ΚΩΣΤΟΠΟΥΛΟΣ</t>
  </si>
  <si>
    <t>ΓΡΟΥΙΟΥ</t>
  </si>
  <si>
    <t>ΠΑΠΑΚΙΤΣΟΣ</t>
  </si>
  <si>
    <t>ΣΗΜΑΝΤΗΡΑΚΗ</t>
  </si>
  <si>
    <t>ΠΕΤΑΣΗΣ</t>
  </si>
  <si>
    <t>ΓΚΑΝΑΣ</t>
  </si>
  <si>
    <t>ΡΕΚΚΑ</t>
  </si>
  <si>
    <t>ΜΠΟΥΓΙΟΥΚΟΥ</t>
  </si>
  <si>
    <t>ΣΕΡΕΤΟΠΟΥΛΟΥ</t>
  </si>
  <si>
    <t>ΓΑΡΥΦΑΛΙΑ</t>
  </si>
  <si>
    <t>ΧΑΝΤΑΒΑΡΙΔΟΥ</t>
  </si>
  <si>
    <t>ΝΙΚΟΛΙΔΑΚΗΣ</t>
  </si>
  <si>
    <t>ΓΑΡΔΙΑ</t>
  </si>
  <si>
    <t>ΣΩΤΗΡΧΟΥ</t>
  </si>
  <si>
    <t>ΤΑΞΙΑΡΧΗΣ</t>
  </si>
  <si>
    <t>ΣΤΡΩΜΑΤΑ</t>
  </si>
  <si>
    <t>ΜΟΛΟΧΙΔΟΥ</t>
  </si>
  <si>
    <t>ΜΑΡΚΟΥΤΣΑΚΗ</t>
  </si>
  <si>
    <t>ΖΗΣΑΡΟΥ</t>
  </si>
  <si>
    <t>ΑΝΘΗ</t>
  </si>
  <si>
    <t>ΚΥΡΙΤΣΗΣ</t>
  </si>
  <si>
    <t>ΑΝΑΓΝΩΣΤΑΚΟΣ</t>
  </si>
  <si>
    <t>ΚΟΜΜΑΤΑ</t>
  </si>
  <si>
    <t>ΚΑΤΣΙΚΟΣ</t>
  </si>
  <si>
    <t>ΖΕΡΒΟΣ</t>
  </si>
  <si>
    <t>ΣΟΦΟΥ</t>
  </si>
  <si>
    <t>ΒΑΣΙΛΟΠΟΥΛΟΣ</t>
  </si>
  <si>
    <t>ΜΗΝΑΊΔΟΥ</t>
  </si>
  <si>
    <t>ΑΝΑΣΤΑΣΙΑ-ΑΝΤΙΓΟΝΗ</t>
  </si>
  <si>
    <t>ΤΕΛΛΙΟΣ</t>
  </si>
  <si>
    <t>ΔΑΜΙΑΝΟΣ</t>
  </si>
  <si>
    <t>ΚΑΡΤΣΩΝΑΚΗΣ</t>
  </si>
  <si>
    <t>ΛΕΛΕΔΑΚΗ</t>
  </si>
  <si>
    <t>ΚΑΛΛΗ</t>
  </si>
  <si>
    <t>ΣΟΧΩΡΙΤΗ</t>
  </si>
  <si>
    <t>ΖΙΑΒΡΑ</t>
  </si>
  <si>
    <t>ΚΑΜΝΑΚΗ</t>
  </si>
  <si>
    <t>ΑΝΑΤΟΛΗΣ</t>
  </si>
  <si>
    <t>ΠΟΥΛΗ</t>
  </si>
  <si>
    <t>ΑΝΑΣΤΑΣΙΑ ΣΩΤΗΡΙΑ</t>
  </si>
  <si>
    <t>ΑΝΤΩΝΟΠΟΥΛΟΥ</t>
  </si>
  <si>
    <t>ΕΛΕΑΝΝΑ</t>
  </si>
  <si>
    <t>ΔΕΜΕΡΤΖΗ</t>
  </si>
  <si>
    <t>ΦΑΤΜΕ</t>
  </si>
  <si>
    <t>ΜΟΥΣΤΑΦΑ</t>
  </si>
  <si>
    <t>ΚΑΡΑΚΩΣΤΑΣ</t>
  </si>
  <si>
    <t>ΤΑΣΙΟΠΟΥΛΟΥ</t>
  </si>
  <si>
    <t>ΑΡΙΣΤΟΜΕΝΗΣ</t>
  </si>
  <si>
    <t>ΒΑΧΑΡΟΓΛΟΥ</t>
  </si>
  <si>
    <t>ΜΗΝΑΣ</t>
  </si>
  <si>
    <t>ΠΑΛΙΟΥΔΑΚΗ</t>
  </si>
  <si>
    <t>ΤΣΟΥΝΗ</t>
  </si>
  <si>
    <t xml:space="preserve">ΚΩΝΣΤΑΝΤΑΚΗ </t>
  </si>
  <si>
    <t xml:space="preserve">ΣΥΝΟΔΗ </t>
  </si>
  <si>
    <t>ΠΑΝΟΛΙΑ</t>
  </si>
  <si>
    <t>ΛΙΑΝΟΣ</t>
  </si>
  <si>
    <t>ΚΑΛΑΦΑΤΗ</t>
  </si>
  <si>
    <t>ΚΑΡΑΜΙΧΟΣ</t>
  </si>
  <si>
    <t>ΒΑΡΕΛΗ</t>
  </si>
  <si>
    <t>ΝΤΟΥΛΜΠΕΡΗ</t>
  </si>
  <si>
    <t>ΜΑΤΑΡΑ</t>
  </si>
  <si>
    <t>ΣΤΑΥΡΙΑΝΟΥ</t>
  </si>
  <si>
    <t>ΧΡΥΣΟΥ</t>
  </si>
  <si>
    <t>ΧΟΥΣΤΟΥΛΑΚΗΣ</t>
  </si>
  <si>
    <t>ΕΛΜΑΖΟΥΔΗ</t>
  </si>
  <si>
    <t>ΜΑΜΑΤΣΙΟΣ</t>
  </si>
  <si>
    <t>ΛΙΟΝΑΚΗ</t>
  </si>
  <si>
    <t>ΑΝΝΑ - ΒΑΣΙΛΙΚΗ</t>
  </si>
  <si>
    <t>ΠΟΙΜΕΝΙΔΟΥ</t>
  </si>
  <si>
    <t>ΑΚΡΙΒΟΣ</t>
  </si>
  <si>
    <t>ΚΩΝΣΤΑΝΤΑΤΟΥ</t>
  </si>
  <si>
    <t>ΖΟΥΜΠΟΥΡΛΟΣ</t>
  </si>
  <si>
    <t>ΡΟΚΚΟΣ</t>
  </si>
  <si>
    <t>ΓΕΩΡΓΟΥΛΟΠΟΥΛΟΣ</t>
  </si>
  <si>
    <t>ΣΑΙΣΑΝΑΣ</t>
  </si>
  <si>
    <t>ΛΑΝΑΡΑΣ</t>
  </si>
  <si>
    <t>ΜΠΟΥΓΑ</t>
  </si>
  <si>
    <t>ΜΗΤΡΟΓΕΩΡΓΟΣ</t>
  </si>
  <si>
    <t>ΠΑΝΑΓΟΣ</t>
  </si>
  <si>
    <t>ΜΠΑΡΟΥΤΗ</t>
  </si>
  <si>
    <t>ΜΑΝΤΟΥΒΑΛΟΥ</t>
  </si>
  <si>
    <t>ΒΑΛΑΣΙΑΔΟΥ</t>
  </si>
  <si>
    <t>ΔΩΡΟΘΕΑ</t>
  </si>
  <si>
    <t>ΛΕΠΙΔΑ</t>
  </si>
  <si>
    <t>ΞΥΝΟΓΑΛΑ</t>
  </si>
  <si>
    <t>ΒΑΦΟΠΟΥΛΟΥ</t>
  </si>
  <si>
    <t>ΣΤΕΛΛΙΟΣ</t>
  </si>
  <si>
    <t>ΑΓΡΟΓΙΑΝΝΗ</t>
  </si>
  <si>
    <t>ΑΓΑΠΗ</t>
  </si>
  <si>
    <t>ΓΡΗΓΟΡΙΟΥ</t>
  </si>
  <si>
    <t>ΠΑΣΧΟΣ</t>
  </si>
  <si>
    <t>ΓΚΙΚΑ</t>
  </si>
  <si>
    <t>ΑΝΝΑ ΜΑΡΙΑ</t>
  </si>
  <si>
    <t>ΚΑΛΛΙΑ</t>
  </si>
  <si>
    <t>ΧΡΙΣΤΑΚΑΚΗ</t>
  </si>
  <si>
    <t>ΝΙΚΟΛΟΥ</t>
  </si>
  <si>
    <t>ΤΣΟΥΤΣΙΚΑΣ</t>
  </si>
  <si>
    <t>ΤΣΟΜΠΑΝΙΔΟΥ</t>
  </si>
  <si>
    <t>ΒΑΡΜΑΖΗΣ</t>
  </si>
  <si>
    <t>ΧΩΡΑΙΤΗΣ</t>
  </si>
  <si>
    <t>ΓΙΑΝΝΑΚΑΚΗΣ</t>
  </si>
  <si>
    <t>ΜΟΥΝΤΡΑΚΗ</t>
  </si>
  <si>
    <t>ΜΑΝ</t>
  </si>
  <si>
    <t>ΤΣΟΥΤΣΟΥΜΠΗ</t>
  </si>
  <si>
    <t>ΔΑΝΑΗ</t>
  </si>
  <si>
    <t>ΤΖΙΤΖΙΛΗ</t>
  </si>
  <si>
    <t>ΚΑΣΙΤΣΚΑ</t>
  </si>
  <si>
    <t>ΓΏΓΟΥ</t>
  </si>
  <si>
    <t>ΝΤΖΕΡΕΜΕΣ</t>
  </si>
  <si>
    <t>ΕΥΘΗΜΙΟΣ</t>
  </si>
  <si>
    <t>ΜΑΡΕΤΗΣ</t>
  </si>
  <si>
    <t>ΜΥΡΩΝΑΚΗΣ</t>
  </si>
  <si>
    <t>ΤΣΕΝΤΖΟΥ</t>
  </si>
  <si>
    <t>ΤΣΟΚΟΛΑ</t>
  </si>
  <si>
    <t>ΚΑΛΑΙΝΤΖΗΣ</t>
  </si>
  <si>
    <t>ΑΤΜΑΤΖΙΔΟΥ</t>
  </si>
  <si>
    <t>ΤΣΙΓΓΟΥ</t>
  </si>
  <si>
    <t>ΜΠΕΚΙΟΥ</t>
  </si>
  <si>
    <t>ΒΟΥΛΟΥΔΑΚΗΣ</t>
  </si>
  <si>
    <t>ΓΑΛΛΟΣ</t>
  </si>
  <si>
    <t>ΟΡΦΑΝΙΔΗΣ</t>
  </si>
  <si>
    <t>ΠΑΠΑΚΩΣΤΑ</t>
  </si>
  <si>
    <t>ΚΟΥΤΣΟΜΥΤΗΣ</t>
  </si>
  <si>
    <t>ΧΡΥΣΙΚΟΥ</t>
  </si>
  <si>
    <t>ΣΤΑΥΡΙΑΝΑΚΟΥ</t>
  </si>
  <si>
    <t>ΝΤΑΛΟΥΚΑΣ</t>
  </si>
  <si>
    <t>ΓΚΟΥΤΖΙΟΜΗΤΡΟΣ</t>
  </si>
  <si>
    <t>ΜΑΝΘΟΥ</t>
  </si>
  <si>
    <t>ΜΠΟΥΡΝΑΖΟΣ</t>
  </si>
  <si>
    <t>ΠΑΠΟΥΛΙΑ</t>
  </si>
  <si>
    <t>ΧΡΥΣΑ</t>
  </si>
  <si>
    <t>ΚΟΥΝΕΛΗΣ</t>
  </si>
  <si>
    <t>ΔΕΜΙΡΗΣ</t>
  </si>
  <si>
    <t>ΤΣΟΓΙΑ</t>
  </si>
  <si>
    <t>ΚΑΝΤΑΣ</t>
  </si>
  <si>
    <t>ΚΑΒΑΡΝΟΥ</t>
  </si>
  <si>
    <t>ΚΟΠΑΝΤΣΗ</t>
  </si>
  <si>
    <t>ΜΟΣΧΟΣ</t>
  </si>
  <si>
    <t>ΓΚΙΟΥΛΕΑΣ</t>
  </si>
  <si>
    <t>ΚΟΛΟΣΑΚΑ</t>
  </si>
  <si>
    <t>ΗΛΙΑΝΝΑ</t>
  </si>
  <si>
    <t>ΠΕΡΔΕΤΖΟΓΛΟΥ</t>
  </si>
  <si>
    <t>ΕΛΕΥΘΕΡΙΟΣ ΔΗΜΗΤΡΙΟΣ</t>
  </si>
  <si>
    <t>ΜΑΣΟΥΡΑΚΗΣ</t>
  </si>
  <si>
    <t>ΑΝΑΣΤΑΣΙΑΔΗΣ</t>
  </si>
  <si>
    <t>ΒΟΤΣΗΣ</t>
  </si>
  <si>
    <t>ΛΥΔΑΚΗΣ</t>
  </si>
  <si>
    <t>ΛΙΝΤΖΕΡΗ</t>
  </si>
  <si>
    <t>ΧΡΟΝΟΠΟΥΛΟΣ</t>
  </si>
  <si>
    <t>ΣΟΥΛΗ</t>
  </si>
  <si>
    <t>ΖΑΡΚΑΔΑ</t>
  </si>
  <si>
    <t>ΠΑΠΑΜΑΝΩΛΗΣ</t>
  </si>
  <si>
    <t>ΑΣΚΟΝΙΤΟΥ</t>
  </si>
  <si>
    <t>ΧΑΣΑΠΗΣ</t>
  </si>
  <si>
    <t>ΤΣΙΟΥΡΒΑ</t>
  </si>
  <si>
    <t>Γουρνοκατερη</t>
  </si>
  <si>
    <t>Θεοδωρα</t>
  </si>
  <si>
    <t>Δημητριος</t>
  </si>
  <si>
    <t>ΓΚΑΡΝΕΤΑΣ</t>
  </si>
  <si>
    <t>ΒΑΣΙΛΙΚΟΣ</t>
  </si>
  <si>
    <t>ΕΥΔΟΞΙΑ</t>
  </si>
  <si>
    <t>ΦΑΣΟΥΛΑ</t>
  </si>
  <si>
    <t>ΚΑΡΔΑΚΟΣ</t>
  </si>
  <si>
    <t>ΓΡΑΜΜΑΤΙΚΑ</t>
  </si>
  <si>
    <t>ΜΠΑΡΠΟΥΤΗ</t>
  </si>
  <si>
    <t>ΜΕΤΑΞΑΚΗ</t>
  </si>
  <si>
    <t>ΑΡΕΤΗ</t>
  </si>
  <si>
    <t>ΚΑΤΡΟΤΖΑΝΗ</t>
  </si>
  <si>
    <t>ΤΑΞΙΔΟΥ</t>
  </si>
  <si>
    <t>ΟΛΓΑ ΠΑΡΕΣΑ</t>
  </si>
  <si>
    <t>ΜΗΝΟΥΔΗ</t>
  </si>
  <si>
    <t>ΤΣΑΙΚΟΥ</t>
  </si>
  <si>
    <t xml:space="preserve">Χρήστου </t>
  </si>
  <si>
    <t xml:space="preserve">Βασιλική </t>
  </si>
  <si>
    <t xml:space="preserve">Παναγιώτης </t>
  </si>
  <si>
    <t>ΜΟΝΙΟΣ</t>
  </si>
  <si>
    <t>ΧΡΟΝΟΠΟΥΛΟΥ</t>
  </si>
  <si>
    <t>ΓΙΑΝΝΕΑΣ</t>
  </si>
  <si>
    <t>ΣΤΑΥΡΟΥΛΑΚΗ</t>
  </si>
  <si>
    <t>ΚΟΤΤΑ</t>
  </si>
  <si>
    <t>ΠΑΛΛΗ</t>
  </si>
  <si>
    <t>ΚΑΦΤΑΝΗΣ</t>
  </si>
  <si>
    <t>ΣΠΥΡΙΔΩΝΑΣ</t>
  </si>
  <si>
    <t>ΘΕΟΦΙΛΟΠΟΥΛΟΣ</t>
  </si>
  <si>
    <t>ΚΟΥΡΟΣ</t>
  </si>
  <si>
    <t>ΙΩΑΝΝΗΣ-ΠΑΝΑΓΙΩΤΗΣ</t>
  </si>
  <si>
    <t>ΜΟΚΑ</t>
  </si>
  <si>
    <t>ΤΣΙΟΥΚΑΣ</t>
  </si>
  <si>
    <t>ΠΕΤΡΑΣ</t>
  </si>
  <si>
    <t>ΣΕΙΤΑΝΙΔΗΣ</t>
  </si>
  <si>
    <t>ΣΤΑΜΑΤΟΠΟΥΛΟΣ</t>
  </si>
  <si>
    <t>ΤΖΗΜΑΣ</t>
  </si>
  <si>
    <t>ΠΕΙΡΑΣΜΑΚΗ</t>
  </si>
  <si>
    <t>ΦΑΤΟΥΡΟΣ</t>
  </si>
  <si>
    <t>ΑΝΑΓΝΩΣΤΟΥΛΗΣ</t>
  </si>
  <si>
    <t>ΜΙΚΡΟΠΟΥΛΟΥ</t>
  </si>
  <si>
    <t>ΜΟΡΦΟΥΛΗ</t>
  </si>
  <si>
    <t>ΚΟΥΜΟΥΝΔΟΥΡΟΣ</t>
  </si>
  <si>
    <t>ΦΩΤΗΣ</t>
  </si>
  <si>
    <t>ΣΠΥΡΛΙΑΔΟΥ</t>
  </si>
  <si>
    <t>ΠΑΠΑΡΔΟΥΚΑΚΗΣ</t>
  </si>
  <si>
    <t>ΧΑΡΙΤΩΝ</t>
  </si>
  <si>
    <t>ΕΥΤΥΧΙΟΣ</t>
  </si>
  <si>
    <t>ΚΥΡΙΤΣΗ</t>
  </si>
  <si>
    <t>ΟΡΦΑΝΟΥ</t>
  </si>
  <si>
    <t>ΕΥΦΡΟΣΥΝΗ</t>
  </si>
  <si>
    <t>ΠΕΤΡΑΚΗΣ</t>
  </si>
  <si>
    <t>Κουβαράς</t>
  </si>
  <si>
    <t>Αναστάσιος</t>
  </si>
  <si>
    <t>ΚΑΠΑΝΟΥ</t>
  </si>
  <si>
    <t>ΜΥΣΤΑΚΙΔΗΣ</t>
  </si>
  <si>
    <t>Καραμπουρνιώτη</t>
  </si>
  <si>
    <t>Σόνια</t>
  </si>
  <si>
    <t>ΚΑΒΡΕΤΣΟΣ</t>
  </si>
  <si>
    <t>ΚΑΡΟΦΥΛΛΑΚΗ</t>
  </si>
  <si>
    <t>ΤΖΗΡΙΝΗ</t>
  </si>
  <si>
    <t>ΑΡΓΥΡΗ</t>
  </si>
  <si>
    <t>ΒΑΒΑΔΕΡΗ</t>
  </si>
  <si>
    <t>EΙΡΗΝΗ</t>
  </si>
  <si>
    <t>ΚΑΡΡΑ</t>
  </si>
  <si>
    <t>ΜΕΡΖΙΩΤΗ</t>
  </si>
  <si>
    <t>ΑΛΙΚΗ</t>
  </si>
  <si>
    <t>ΚΑΛΟΔΟΥΚΑ</t>
  </si>
  <si>
    <t>ΚΟΚΟΤΟΣ</t>
  </si>
  <si>
    <t>ΜΠΑΡΜΠΟΥΤΗ</t>
  </si>
  <si>
    <t>ΚΡΗΤΙΚΟΣ</t>
  </si>
  <si>
    <t>ΓΚΙΟΛΑ</t>
  </si>
  <si>
    <t>ΚΑΡΑΜΗΤΣΙΟΥ</t>
  </si>
  <si>
    <t>ΒΑΓΙΑ</t>
  </si>
  <si>
    <t>ΔΙΑΡΜΙΣΑΚΗΣ</t>
  </si>
  <si>
    <t>ΑΠΟΣΤΟΛΟΠΟΥΛΟΣ</t>
  </si>
  <si>
    <t>ΚΟΤΡΟΛΟΣ</t>
  </si>
  <si>
    <t>ΜΠΑΡΜΠΕΤΑΚΗΣ</t>
  </si>
  <si>
    <t>ΑΝΤΩΝ</t>
  </si>
  <si>
    <t>Λογοθετης</t>
  </si>
  <si>
    <t>Άγγελος Ηλιας</t>
  </si>
  <si>
    <t>ΚΟΥΤΕΛΙΔΑΚΗ</t>
  </si>
  <si>
    <t>ΡΕΓΚΛΗ</t>
  </si>
  <si>
    <t>ΜΠΙΛΑ</t>
  </si>
  <si>
    <t>ΣΤΑΥΡΟΠΟΥΛΟΣ</t>
  </si>
  <si>
    <t>ΛΟΥΜΠΑΡΔΙΑ</t>
  </si>
  <si>
    <t>ΠΑΝΑΓΟΠΟΥΛΟΥ</t>
  </si>
  <si>
    <t>ΚΑΚΑΜΠΟΥΡΑΣ</t>
  </si>
  <si>
    <t>ΓΕΡΑΣΙΜΙΔΗΣ</t>
  </si>
  <si>
    <t>ΚΑΡΑΛΙΑΜΗΣ</t>
  </si>
  <si>
    <t>ΤΣΙΠΡΑ</t>
  </si>
  <si>
    <t>ΛΑΜΠΡΟΠΟΥΛΟΣ</t>
  </si>
  <si>
    <t>ΣΙΣΜΑΝΗΣ</t>
  </si>
  <si>
    <t>ΜΠΕΙΝΟΓΛΟΥ</t>
  </si>
  <si>
    <t>ΜΠΑΓΚΙΝΟ</t>
  </si>
  <si>
    <t>ΝΙΚΟΛΑΟΣ ΣΠΑΡΤΑΚΟΣ</t>
  </si>
  <si>
    <t>ΨΑΡΑΚΗ</t>
  </si>
  <si>
    <t>ΜΟΝΑΣΤΗΡΟΓΛΟΥ</t>
  </si>
  <si>
    <t>ΚΕΝΤΡΟΣ</t>
  </si>
  <si>
    <t>ΜΑΝΔΥΛΑΣ</t>
  </si>
  <si>
    <t>ΒΑΛΒΗ</t>
  </si>
  <si>
    <t>ΜΟΥΣΤΑΚΑΣ</t>
  </si>
  <si>
    <t>ΓΛΑΒΑΣ</t>
  </si>
  <si>
    <t>ΚΑΚΚΑΒΗΣ</t>
  </si>
  <si>
    <t>ΒΛΑΧΟΓΙΑΝΝΗΣ</t>
  </si>
  <si>
    <t>ΚΟΣΜΑ</t>
  </si>
  <si>
    <t>ΧΡΗΣΤΙΝΑ</t>
  </si>
  <si>
    <t>ΠΑΝΟΠΟΥΛΟΣ</t>
  </si>
  <si>
    <t>ΛΙΑΚΟΣ</t>
  </si>
  <si>
    <t>ΡΩΜΥΛΟΣ</t>
  </si>
  <si>
    <t xml:space="preserve">Ζάππας </t>
  </si>
  <si>
    <t xml:space="preserve">Γιάννης </t>
  </si>
  <si>
    <t>Έντμοντ</t>
  </si>
  <si>
    <t>ΚΑΡΙΝΑΣ</t>
  </si>
  <si>
    <t>ΑΝΤΩΝΗΣ</t>
  </si>
  <si>
    <t>ΚΩΤΣΟ</t>
  </si>
  <si>
    <t>ΔΟΥΡΓΟΥΤΗ</t>
  </si>
  <si>
    <t>ΓΑΤΣΟΥ</t>
  </si>
  <si>
    <t>ΣΑΜΠΡΑΚΟΣ</t>
  </si>
  <si>
    <t>ΔΑΜΟΥ</t>
  </si>
  <si>
    <t>ΣΠΥΡΟ</t>
  </si>
  <si>
    <t>ΝΙΚΟΛΟΠΟΥΛΟΥ</t>
  </si>
  <si>
    <t>ΘΕΟΦΑΝΗ</t>
  </si>
  <si>
    <t>ΑΞΑΟΠΟΥΛΟΥ</t>
  </si>
  <si>
    <t>ΦΙΑΚΚΟΣ</t>
  </si>
  <si>
    <t>ΚΟΖΑΣ</t>
  </si>
  <si>
    <t>ΑΘΑΝΑΣΙΑΔΗΣ</t>
  </si>
  <si>
    <t>ΙΓΝΑΤΙΟΣ</t>
  </si>
  <si>
    <t>ΚΑΡΑΜΠΑΤΣΟΣ</t>
  </si>
  <si>
    <t>ΘΩΜΑΗ</t>
  </si>
  <si>
    <t>ΠΟΥΡΔΑΝΗΣ</t>
  </si>
  <si>
    <t>ΤΣΙΓΑΡΙΔΑΣ</t>
  </si>
  <si>
    <t>ΤΣΙΡΚΙΝΙΔΗΣ</t>
  </si>
  <si>
    <t>ΣΜΥΡΝΑΙΟΥ</t>
  </si>
  <si>
    <t>ΠΑΝΟΠΟΥΛΟΥ</t>
  </si>
  <si>
    <t>ΚΩΝ/ΝΟΣ</t>
  </si>
  <si>
    <t>ΧΑΛΕΛΛΗ</t>
  </si>
  <si>
    <t>ΕΥΣΤΡ</t>
  </si>
  <si>
    <t>ΚΑΛΟΓΕΡΑΤΟΣ</t>
  </si>
  <si>
    <t>ΜΠΑΡΤΖΩΚΑΣ</t>
  </si>
  <si>
    <t>ΜΑΝΤΖΑΝΑ</t>
  </si>
  <si>
    <t>ΜΠΑΤΖΗΛΙΩΤΗΣ</t>
  </si>
  <si>
    <t>ΘΕΟΔΟΣΙΟΥ</t>
  </si>
  <si>
    <t>ΒΛΑΧΑΚΗ ΣΤΑΜΑΤΟΠΟΥΛΟΥ</t>
  </si>
  <si>
    <t>ΜΠΙΝΙΑΚΟΣ</t>
  </si>
  <si>
    <t>ΜΥΛΩΝΑ</t>
  </si>
  <si>
    <t>ΚΟΥΣΗΣ</t>
  </si>
  <si>
    <t>ΑΓΗΣΙΛΑΟΣ</t>
  </si>
  <si>
    <t>ΣΤΑΥΡΑΚΑΚΗΣ</t>
  </si>
  <si>
    <t>ΜΑΥΡΑΚΑΚΗΣ</t>
  </si>
  <si>
    <t>ΜΠΟΥΓΔΑΝΟΣ</t>
  </si>
  <si>
    <t>ΚΑΛΟΜΑΛΟΥ</t>
  </si>
  <si>
    <t>ΔΙΚΟΠΟΥΛΟΣ</t>
  </si>
  <si>
    <t>ΡΙΖΟΠΟΥΛΟΣ</t>
  </si>
  <si>
    <t>ΚΟΥΡΑΝΟΥ</t>
  </si>
  <si>
    <t>ΚΑΘΟΛΙΚΗ-ΤΣΑΜΠΙΚΑ</t>
  </si>
  <si>
    <t>ΧΡΗΣΤΙΔΟΥ</t>
  </si>
  <si>
    <t>ΚΩΤΣΙΟΥ</t>
  </si>
  <si>
    <t>ΓΚΡΕΜΗΛΑΣ</t>
  </si>
  <si>
    <t>ΚΑΤΣΕΝΟΣ</t>
  </si>
  <si>
    <t>ΤΡΙΚΟΙΛΗ</t>
  </si>
  <si>
    <t>ΜΑΛΑΚΟΥΔΗΣ</t>
  </si>
  <si>
    <t>ΚΑΛΗΜΕΡΗΣ</t>
  </si>
  <si>
    <t>ΜΑΛΑΜΗΣ</t>
  </si>
  <si>
    <t>ΚΩΝΣΤ</t>
  </si>
  <si>
    <t>ΜΑΛΙΑΚΑ</t>
  </si>
  <si>
    <t>ΖΑΡΚΑΔΑΣ</t>
  </si>
  <si>
    <t>ΑΧΙΛΛΕΑΣ</t>
  </si>
  <si>
    <t>ΧΑΤΖΗΤΟΥΡΝΟΥ</t>
  </si>
  <si>
    <t>ΒΟΥΔΟΥΡΗΣ</t>
  </si>
  <si>
    <t>1:ΒΑΘΜΟΣ ΒΑΣΙΚΟΥ ΤΙΤΛΟΥ ΣΠΟΥΔΩΝ</t>
  </si>
  <si>
    <t>2:ΔΕΥΤΕΡΟ ΠΤΥΧΙΟ Α.Ε.Ι.</t>
  </si>
  <si>
    <t>3:ΒΑΘΜ. ΔΙΔΑΚΤΟΡΙΚΟΥ ΔΙΠΛΩΜΑΤΟΣ</t>
  </si>
  <si>
    <t>4:ΒΑΘΜ. ΜΕΤΑΠΤΥΧΙΑΚΟΥ ΤΙΤΛΟΥ ΣΠΟΥΔΩΝ ΕΝΟΣ ΤΟΥΛ. ΕΤΟΥΣ</t>
  </si>
  <si>
    <t>5:ΣΥΝ. ΒΑΘΜ. ΜΕΤΑΠΤΥΧΙΑΚΩΝ</t>
  </si>
  <si>
    <t>6:ΒΑΘΜ. ΑΡΙΣΤΗΣ ΓΝΩΣΗΣ ΞΕΝΗΣ ΓΛΩΣΣΑΣ</t>
  </si>
  <si>
    <t>7:ΒΑΘΜ. ΠΟΛΥ ΚΑΛΗΣ ΓΝΩΣΗΣ ΞΕΝΗΣ ΓΛΩΣΣΑΣ</t>
  </si>
  <si>
    <t>8:ΒΑΘΜ. ΚΑΛΗΣ ΓΝΩΣΗΣ ΞΕΝΗΣ ΓΛΩΣΣΑΣ</t>
  </si>
  <si>
    <t>9:ΣΥΝ. ΒΑΘΜ. ΞΕΝΩΝ ΓΛΩΣΣΩΝ</t>
  </si>
  <si>
    <t>10:ΒΑΘΜ. ΓΝΩΣΗΣ ΧΕΙΡΙΣΜΟΥ Η/Υ</t>
  </si>
  <si>
    <t>11:ΒΑΘΜ. ΕΠΙΜΟΡΦΩΣΗΣ ΔΙΑΡΚΕΙΑΣ 300 ΩΡΩΝ</t>
  </si>
  <si>
    <t>12:ΣΥΝ. ΑΚΑΔΗΜΑΪΚΩΝ ΠΡΟΣΟΝΤΩΝ</t>
  </si>
  <si>
    <t>13:ΕΚΠΑΙΔΕΥΤΙΚΗ ΠΡΟΥΠΗΡΕΣΙΑ ΕΩΣ ΚΑΙ 120 ΜΗΝΕΣ</t>
  </si>
  <si>
    <t>14:ΜΟΝΑΔΕΣ ΓΙΑ ΤΗΝ ΕΚΠΑΙΔΕΥΤΙΚΗ ΠΡΟΥΠΗΡΕΣΙΑ</t>
  </si>
  <si>
    <t>15:ΒΑΘΜ. ΑΝΗΛΙΚΩΝ ΤΕΚΝΩΝ</t>
  </si>
  <si>
    <t>16:ΒΑΘΜ. ΠΟΣΟΣΤΟΥ ΤΟΥΛΑΧΙΣΤΟΝ 50% ΑΝΑΠΗΡΙΑΣ</t>
  </si>
  <si>
    <t>17:ΠΙΣΤΟΠΟΙΗΜΕΝΗ ΕΞΕΙΔΙΚΕΥΣΗ ΣΤΗ ΠΑΙΔΑΓΩΓΙΚΗ ΕΠΑΡΚΕΙΑ</t>
  </si>
  <si>
    <t>ΚΑΤΑΤΑΞΗ ΜΕ ΣΕΙΡΑ ΠΡΟΤΕΡΑΙΟΤΗΤΑΣ ΥΠΟΨΗΦΙΩΝ ΕΚΠΑΙΔΕΥΤΙΚΩΝ ΔΕΥΤΕΡΟΒΑΘΜΙΑΣ ΕΚΠΑΙΔΕΥΣΗΣ-ΓΕΝΙΚΗ ΕΚΠΑΙΔΕΥΣΗ (ν.4589/2019)-ΠΡΟΚΗΡΥΞΗ 2ΓΕ/2019 (ΦΕΚ 46/24.12.2019)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</si>
</sst>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2323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7" spans="1:24" ht="1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>
        <v>1</v>
      </c>
      <c r="H7">
        <v>2</v>
      </c>
      <c r="I7">
        <v>3</v>
      </c>
      <c r="J7">
        <v>4</v>
      </c>
      <c r="K7">
        <v>5</v>
      </c>
      <c r="L7">
        <v>6</v>
      </c>
      <c r="M7">
        <v>7</v>
      </c>
      <c r="N7">
        <v>8</v>
      </c>
      <c r="O7">
        <v>9</v>
      </c>
      <c r="P7">
        <v>10</v>
      </c>
      <c r="Q7">
        <v>11</v>
      </c>
      <c r="R7">
        <v>12</v>
      </c>
      <c r="S7">
        <v>13</v>
      </c>
      <c r="T7">
        <v>14</v>
      </c>
      <c r="U7">
        <v>15</v>
      </c>
      <c r="V7">
        <v>16</v>
      </c>
      <c r="W7">
        <v>17</v>
      </c>
      <c r="X7" t="s">
        <v>10</v>
      </c>
    </row>
    <row r="8" spans="1:24" ht="15">
      <c r="A8">
        <v>1</v>
      </c>
      <c r="B8">
        <v>85441</v>
      </c>
      <c r="C8" t="s">
        <v>11</v>
      </c>
      <c r="D8" t="s">
        <v>12</v>
      </c>
      <c r="E8" t="s">
        <v>13</v>
      </c>
      <c r="F8" t="str">
        <f>"00241887"</f>
        <v>00241887</v>
      </c>
      <c r="G8">
        <v>16.6</v>
      </c>
      <c r="H8">
        <v>7</v>
      </c>
      <c r="I8">
        <v>0</v>
      </c>
      <c r="J8">
        <v>20</v>
      </c>
      <c r="K8">
        <v>20</v>
      </c>
      <c r="N8">
        <v>3</v>
      </c>
      <c r="O8">
        <v>3</v>
      </c>
      <c r="P8">
        <v>4</v>
      </c>
      <c r="Q8">
        <v>0</v>
      </c>
      <c r="R8">
        <v>50.6</v>
      </c>
      <c r="S8">
        <v>120</v>
      </c>
      <c r="T8">
        <v>120</v>
      </c>
      <c r="U8">
        <v>0</v>
      </c>
      <c r="V8">
        <v>0</v>
      </c>
      <c r="W8" t="s">
        <v>14</v>
      </c>
      <c r="X8">
        <v>170.6</v>
      </c>
    </row>
    <row r="9" spans="1:24" ht="15">
      <c r="A9">
        <v>2</v>
      </c>
      <c r="B9">
        <v>57826</v>
      </c>
      <c r="C9" t="s">
        <v>15</v>
      </c>
      <c r="D9" t="s">
        <v>16</v>
      </c>
      <c r="E9" t="s">
        <v>17</v>
      </c>
      <c r="F9" t="str">
        <f>"00591590"</f>
        <v>00591590</v>
      </c>
      <c r="G9">
        <v>19.43</v>
      </c>
      <c r="H9">
        <v>7</v>
      </c>
      <c r="I9">
        <v>0</v>
      </c>
      <c r="J9">
        <v>28</v>
      </c>
      <c r="K9">
        <v>28</v>
      </c>
      <c r="N9">
        <v>3</v>
      </c>
      <c r="O9">
        <v>3</v>
      </c>
      <c r="P9">
        <v>4</v>
      </c>
      <c r="Q9">
        <v>0</v>
      </c>
      <c r="R9">
        <v>61.43</v>
      </c>
      <c r="S9">
        <v>95</v>
      </c>
      <c r="T9">
        <v>95</v>
      </c>
      <c r="U9">
        <v>9</v>
      </c>
      <c r="V9">
        <v>0</v>
      </c>
      <c r="W9" t="s">
        <v>14</v>
      </c>
      <c r="X9">
        <v>165.43</v>
      </c>
    </row>
    <row r="10" spans="1:24" ht="15">
      <c r="A10">
        <v>3</v>
      </c>
      <c r="B10">
        <v>14066</v>
      </c>
      <c r="C10" t="s">
        <v>18</v>
      </c>
      <c r="D10" t="s">
        <v>17</v>
      </c>
      <c r="E10" t="s">
        <v>12</v>
      </c>
      <c r="F10" t="str">
        <f>"00485523"</f>
        <v>00485523</v>
      </c>
      <c r="G10">
        <v>17.5</v>
      </c>
      <c r="H10">
        <v>7</v>
      </c>
      <c r="I10">
        <v>0</v>
      </c>
      <c r="J10">
        <v>20</v>
      </c>
      <c r="K10">
        <v>20</v>
      </c>
      <c r="O10">
        <v>0</v>
      </c>
      <c r="P10">
        <v>4</v>
      </c>
      <c r="Q10">
        <v>2</v>
      </c>
      <c r="R10">
        <v>50.5</v>
      </c>
      <c r="S10">
        <v>110</v>
      </c>
      <c r="T10">
        <v>110</v>
      </c>
      <c r="U10">
        <v>0</v>
      </c>
      <c r="V10">
        <v>0</v>
      </c>
      <c r="W10" t="s">
        <v>14</v>
      </c>
      <c r="X10">
        <v>160.5</v>
      </c>
    </row>
    <row r="11" spans="1:24" ht="15">
      <c r="A11">
        <v>4</v>
      </c>
      <c r="B11">
        <v>67996</v>
      </c>
      <c r="C11" t="s">
        <v>19</v>
      </c>
      <c r="D11" t="s">
        <v>20</v>
      </c>
      <c r="E11" t="s">
        <v>21</v>
      </c>
      <c r="F11" t="str">
        <f>"00619684"</f>
        <v>00619684</v>
      </c>
      <c r="G11">
        <v>19.98</v>
      </c>
      <c r="H11">
        <v>7</v>
      </c>
      <c r="I11">
        <v>0</v>
      </c>
      <c r="J11">
        <v>20</v>
      </c>
      <c r="K11">
        <v>20</v>
      </c>
      <c r="O11">
        <v>0</v>
      </c>
      <c r="P11">
        <v>0</v>
      </c>
      <c r="Q11">
        <v>0</v>
      </c>
      <c r="R11">
        <v>46.98</v>
      </c>
      <c r="S11">
        <v>109</v>
      </c>
      <c r="T11">
        <v>109</v>
      </c>
      <c r="U11">
        <v>0</v>
      </c>
      <c r="V11">
        <v>0</v>
      </c>
      <c r="W11" t="s">
        <v>14</v>
      </c>
      <c r="X11">
        <v>155.98</v>
      </c>
    </row>
    <row r="12" spans="1:24" ht="15">
      <c r="A12">
        <v>5</v>
      </c>
      <c r="B12">
        <v>108031</v>
      </c>
      <c r="C12" t="s">
        <v>22</v>
      </c>
      <c r="D12" t="s">
        <v>23</v>
      </c>
      <c r="E12" t="s">
        <v>24</v>
      </c>
      <c r="F12" t="str">
        <f>"00120715"</f>
        <v>00120715</v>
      </c>
      <c r="G12">
        <v>20.35</v>
      </c>
      <c r="H12">
        <v>7</v>
      </c>
      <c r="I12">
        <v>0</v>
      </c>
      <c r="J12">
        <v>20</v>
      </c>
      <c r="K12">
        <v>20</v>
      </c>
      <c r="N12">
        <v>3</v>
      </c>
      <c r="O12">
        <v>3</v>
      </c>
      <c r="P12">
        <v>4</v>
      </c>
      <c r="Q12">
        <v>0</v>
      </c>
      <c r="R12">
        <v>54.35</v>
      </c>
      <c r="S12">
        <v>91</v>
      </c>
      <c r="T12">
        <v>91</v>
      </c>
      <c r="U12">
        <v>9</v>
      </c>
      <c r="V12">
        <v>0</v>
      </c>
      <c r="W12" t="s">
        <v>14</v>
      </c>
      <c r="X12">
        <v>154.35</v>
      </c>
    </row>
    <row r="13" spans="1:24" ht="15">
      <c r="A13">
        <v>6</v>
      </c>
      <c r="B13">
        <v>17292</v>
      </c>
      <c r="C13" t="s">
        <v>28</v>
      </c>
      <c r="D13" t="s">
        <v>29</v>
      </c>
      <c r="E13" t="s">
        <v>30</v>
      </c>
      <c r="F13" t="str">
        <f>"00510827"</f>
        <v>00510827</v>
      </c>
      <c r="G13">
        <v>20.58</v>
      </c>
      <c r="H13">
        <v>7</v>
      </c>
      <c r="I13">
        <v>0</v>
      </c>
      <c r="J13">
        <v>28</v>
      </c>
      <c r="K13">
        <v>28</v>
      </c>
      <c r="L13">
        <v>7</v>
      </c>
      <c r="N13">
        <v>3</v>
      </c>
      <c r="O13">
        <v>10</v>
      </c>
      <c r="P13">
        <v>4</v>
      </c>
      <c r="Q13">
        <v>2</v>
      </c>
      <c r="R13">
        <v>71.58</v>
      </c>
      <c r="S13">
        <v>70</v>
      </c>
      <c r="T13">
        <v>70</v>
      </c>
      <c r="U13">
        <v>3</v>
      </c>
      <c r="V13">
        <v>0</v>
      </c>
      <c r="W13" t="s">
        <v>14</v>
      </c>
      <c r="X13">
        <v>144.58</v>
      </c>
    </row>
    <row r="14" spans="1:24" ht="15">
      <c r="A14">
        <v>7</v>
      </c>
      <c r="B14">
        <v>63351</v>
      </c>
      <c r="C14" t="s">
        <v>31</v>
      </c>
      <c r="D14" t="s">
        <v>32</v>
      </c>
      <c r="E14" t="s">
        <v>27</v>
      </c>
      <c r="F14" t="str">
        <f>"201402000244"</f>
        <v>201402000244</v>
      </c>
      <c r="G14">
        <v>20.2</v>
      </c>
      <c r="H14">
        <v>7</v>
      </c>
      <c r="I14">
        <v>0</v>
      </c>
      <c r="J14">
        <v>28</v>
      </c>
      <c r="K14">
        <v>28</v>
      </c>
      <c r="L14">
        <v>14</v>
      </c>
      <c r="O14">
        <v>14</v>
      </c>
      <c r="P14">
        <v>4</v>
      </c>
      <c r="Q14">
        <v>0</v>
      </c>
      <c r="R14">
        <v>73.2</v>
      </c>
      <c r="S14">
        <v>61</v>
      </c>
      <c r="T14">
        <v>61</v>
      </c>
      <c r="U14">
        <v>3</v>
      </c>
      <c r="V14">
        <v>0</v>
      </c>
      <c r="W14" t="s">
        <v>14</v>
      </c>
      <c r="X14">
        <v>137.2</v>
      </c>
    </row>
    <row r="15" spans="1:24" ht="15">
      <c r="A15">
        <v>8</v>
      </c>
      <c r="B15">
        <v>59086</v>
      </c>
      <c r="C15" t="s">
        <v>33</v>
      </c>
      <c r="D15" t="s">
        <v>27</v>
      </c>
      <c r="E15" t="s">
        <v>17</v>
      </c>
      <c r="F15" t="str">
        <f>"00571437"</f>
        <v>00571437</v>
      </c>
      <c r="G15">
        <v>15.75</v>
      </c>
      <c r="H15">
        <v>7</v>
      </c>
      <c r="I15">
        <v>0</v>
      </c>
      <c r="J15">
        <v>20</v>
      </c>
      <c r="K15">
        <v>20</v>
      </c>
      <c r="N15">
        <v>3</v>
      </c>
      <c r="O15">
        <v>3</v>
      </c>
      <c r="P15">
        <v>4</v>
      </c>
      <c r="Q15">
        <v>0</v>
      </c>
      <c r="R15">
        <v>49.75</v>
      </c>
      <c r="S15">
        <v>86</v>
      </c>
      <c r="T15">
        <v>86</v>
      </c>
      <c r="U15">
        <v>0</v>
      </c>
      <c r="V15">
        <v>0</v>
      </c>
      <c r="W15" t="s">
        <v>14</v>
      </c>
      <c r="X15">
        <v>135.75</v>
      </c>
    </row>
    <row r="16" spans="1:24" ht="15">
      <c r="A16">
        <v>9</v>
      </c>
      <c r="B16">
        <v>93340</v>
      </c>
      <c r="C16" t="s">
        <v>34</v>
      </c>
      <c r="D16" t="s">
        <v>35</v>
      </c>
      <c r="E16" t="s">
        <v>12</v>
      </c>
      <c r="F16" t="str">
        <f>"200802007333"</f>
        <v>200802007333</v>
      </c>
      <c r="G16">
        <v>19.4</v>
      </c>
      <c r="H16">
        <v>7</v>
      </c>
      <c r="I16">
        <v>0</v>
      </c>
      <c r="J16">
        <v>28</v>
      </c>
      <c r="K16">
        <v>28</v>
      </c>
      <c r="N16">
        <v>3</v>
      </c>
      <c r="O16">
        <v>3</v>
      </c>
      <c r="P16">
        <v>4</v>
      </c>
      <c r="Q16">
        <v>2</v>
      </c>
      <c r="R16">
        <v>63.4</v>
      </c>
      <c r="S16">
        <v>64</v>
      </c>
      <c r="T16">
        <v>64</v>
      </c>
      <c r="U16">
        <v>0</v>
      </c>
      <c r="V16">
        <v>0</v>
      </c>
      <c r="W16" t="s">
        <v>14</v>
      </c>
      <c r="X16">
        <v>127.4</v>
      </c>
    </row>
    <row r="17" spans="1:24" ht="15">
      <c r="A17">
        <v>10</v>
      </c>
      <c r="B17">
        <v>113071</v>
      </c>
      <c r="C17" t="s">
        <v>36</v>
      </c>
      <c r="D17" t="s">
        <v>37</v>
      </c>
      <c r="E17" t="s">
        <v>12</v>
      </c>
      <c r="F17" t="str">
        <f>"201202000019"</f>
        <v>201202000019</v>
      </c>
      <c r="G17">
        <v>14.28</v>
      </c>
      <c r="H17">
        <v>0</v>
      </c>
      <c r="I17">
        <v>0</v>
      </c>
      <c r="J17">
        <v>20</v>
      </c>
      <c r="K17">
        <v>20</v>
      </c>
      <c r="L17">
        <v>7</v>
      </c>
      <c r="N17">
        <v>3</v>
      </c>
      <c r="O17">
        <v>10</v>
      </c>
      <c r="P17">
        <v>4</v>
      </c>
      <c r="Q17">
        <v>0</v>
      </c>
      <c r="R17">
        <v>48.28</v>
      </c>
      <c r="S17">
        <v>76</v>
      </c>
      <c r="T17">
        <v>76</v>
      </c>
      <c r="U17">
        <v>3</v>
      </c>
      <c r="V17">
        <v>0</v>
      </c>
      <c r="W17" t="s">
        <v>14</v>
      </c>
      <c r="X17">
        <v>127.28</v>
      </c>
    </row>
    <row r="18" spans="1:24" ht="15">
      <c r="A18">
        <v>11</v>
      </c>
      <c r="B18">
        <v>29896</v>
      </c>
      <c r="C18" t="s">
        <v>38</v>
      </c>
      <c r="D18" t="s">
        <v>39</v>
      </c>
      <c r="E18" t="s">
        <v>17</v>
      </c>
      <c r="F18" t="str">
        <f>"201504004758"</f>
        <v>201504004758</v>
      </c>
      <c r="G18">
        <v>18.05</v>
      </c>
      <c r="H18">
        <v>0</v>
      </c>
      <c r="I18">
        <v>0</v>
      </c>
      <c r="J18">
        <v>28</v>
      </c>
      <c r="K18">
        <v>28</v>
      </c>
      <c r="L18">
        <v>7</v>
      </c>
      <c r="N18">
        <v>3</v>
      </c>
      <c r="O18">
        <v>10</v>
      </c>
      <c r="P18">
        <v>4</v>
      </c>
      <c r="Q18">
        <v>2</v>
      </c>
      <c r="R18">
        <v>62.05</v>
      </c>
      <c r="S18">
        <v>55</v>
      </c>
      <c r="T18">
        <v>55</v>
      </c>
      <c r="U18">
        <v>9</v>
      </c>
      <c r="V18">
        <v>0</v>
      </c>
      <c r="W18" t="s">
        <v>14</v>
      </c>
      <c r="X18">
        <v>126.05</v>
      </c>
    </row>
    <row r="19" spans="1:24" ht="15">
      <c r="A19">
        <v>12</v>
      </c>
      <c r="B19">
        <v>2777</v>
      </c>
      <c r="C19" t="s">
        <v>40</v>
      </c>
      <c r="D19" t="s">
        <v>41</v>
      </c>
      <c r="E19" t="s">
        <v>17</v>
      </c>
      <c r="F19" t="str">
        <f>"200810000746"</f>
        <v>200810000746</v>
      </c>
      <c r="G19">
        <v>19.43</v>
      </c>
      <c r="H19">
        <v>0</v>
      </c>
      <c r="I19">
        <v>0</v>
      </c>
      <c r="J19">
        <v>20</v>
      </c>
      <c r="K19">
        <v>20</v>
      </c>
      <c r="N19">
        <v>6</v>
      </c>
      <c r="O19">
        <v>6</v>
      </c>
      <c r="P19">
        <v>4</v>
      </c>
      <c r="Q19">
        <v>0</v>
      </c>
      <c r="R19">
        <v>49.43</v>
      </c>
      <c r="S19">
        <v>70</v>
      </c>
      <c r="T19">
        <v>70</v>
      </c>
      <c r="U19">
        <v>3</v>
      </c>
      <c r="V19">
        <v>0</v>
      </c>
      <c r="W19" t="s">
        <v>14</v>
      </c>
      <c r="X19">
        <v>122.43</v>
      </c>
    </row>
    <row r="20" spans="1:24" ht="15">
      <c r="A20">
        <v>13</v>
      </c>
      <c r="B20">
        <v>70074</v>
      </c>
      <c r="C20" t="s">
        <v>42</v>
      </c>
      <c r="D20" t="s">
        <v>43</v>
      </c>
      <c r="E20" t="s">
        <v>44</v>
      </c>
      <c r="F20" t="str">
        <f>"00320564"</f>
        <v>00320564</v>
      </c>
      <c r="G20">
        <v>18.23</v>
      </c>
      <c r="H20">
        <v>0</v>
      </c>
      <c r="I20">
        <v>0</v>
      </c>
      <c r="J20">
        <v>28</v>
      </c>
      <c r="K20">
        <v>28</v>
      </c>
      <c r="L20">
        <v>14</v>
      </c>
      <c r="O20">
        <v>14</v>
      </c>
      <c r="P20">
        <v>4</v>
      </c>
      <c r="Q20">
        <v>2</v>
      </c>
      <c r="R20">
        <v>66.23</v>
      </c>
      <c r="S20">
        <v>49</v>
      </c>
      <c r="T20">
        <v>49</v>
      </c>
      <c r="U20">
        <v>6</v>
      </c>
      <c r="V20">
        <v>0</v>
      </c>
      <c r="W20" t="s">
        <v>14</v>
      </c>
      <c r="X20">
        <v>121.23</v>
      </c>
    </row>
    <row r="21" spans="1:24" ht="15">
      <c r="A21">
        <v>14</v>
      </c>
      <c r="B21">
        <v>43975</v>
      </c>
      <c r="C21" t="s">
        <v>45</v>
      </c>
      <c r="D21" t="s">
        <v>46</v>
      </c>
      <c r="E21" t="s">
        <v>47</v>
      </c>
      <c r="F21" t="str">
        <f>"00205338"</f>
        <v>00205338</v>
      </c>
      <c r="G21">
        <v>15.85</v>
      </c>
      <c r="H21">
        <v>7</v>
      </c>
      <c r="I21">
        <v>0</v>
      </c>
      <c r="J21">
        <v>20</v>
      </c>
      <c r="K21">
        <v>20</v>
      </c>
      <c r="N21">
        <v>3</v>
      </c>
      <c r="O21">
        <v>3</v>
      </c>
      <c r="P21">
        <v>4</v>
      </c>
      <c r="Q21">
        <v>0</v>
      </c>
      <c r="R21">
        <v>49.85</v>
      </c>
      <c r="S21">
        <v>68</v>
      </c>
      <c r="T21">
        <v>68</v>
      </c>
      <c r="U21">
        <v>3</v>
      </c>
      <c r="V21">
        <v>0</v>
      </c>
      <c r="W21" t="s">
        <v>14</v>
      </c>
      <c r="X21">
        <v>120.85</v>
      </c>
    </row>
    <row r="22" spans="1:24" ht="15">
      <c r="A22">
        <v>15</v>
      </c>
      <c r="B22">
        <v>22780</v>
      </c>
      <c r="C22" t="s">
        <v>48</v>
      </c>
      <c r="D22" t="s">
        <v>29</v>
      </c>
      <c r="E22" t="s">
        <v>27</v>
      </c>
      <c r="F22" t="str">
        <f>"00557259"</f>
        <v>00557259</v>
      </c>
      <c r="G22">
        <v>14.55</v>
      </c>
      <c r="H22">
        <v>7</v>
      </c>
      <c r="I22">
        <v>0</v>
      </c>
      <c r="J22">
        <v>0</v>
      </c>
      <c r="K22">
        <v>0</v>
      </c>
      <c r="M22">
        <v>5</v>
      </c>
      <c r="N22">
        <v>3</v>
      </c>
      <c r="O22">
        <v>8</v>
      </c>
      <c r="P22">
        <v>4</v>
      </c>
      <c r="Q22">
        <v>0</v>
      </c>
      <c r="R22">
        <v>33.55</v>
      </c>
      <c r="S22">
        <v>81</v>
      </c>
      <c r="T22">
        <v>81</v>
      </c>
      <c r="U22">
        <v>6</v>
      </c>
      <c r="V22">
        <v>0</v>
      </c>
      <c r="W22" t="s">
        <v>14</v>
      </c>
      <c r="X22">
        <v>120.55</v>
      </c>
    </row>
    <row r="23" spans="1:24" ht="15">
      <c r="A23">
        <v>16</v>
      </c>
      <c r="B23">
        <v>36229</v>
      </c>
      <c r="C23" t="s">
        <v>49</v>
      </c>
      <c r="D23" t="s">
        <v>50</v>
      </c>
      <c r="E23" t="s">
        <v>51</v>
      </c>
      <c r="F23" t="str">
        <f>"201402001955"</f>
        <v>201402001955</v>
      </c>
      <c r="G23">
        <v>19.85</v>
      </c>
      <c r="H23">
        <v>0</v>
      </c>
      <c r="I23">
        <v>0</v>
      </c>
      <c r="J23">
        <v>20</v>
      </c>
      <c r="K23">
        <v>20</v>
      </c>
      <c r="N23">
        <v>3</v>
      </c>
      <c r="O23">
        <v>3</v>
      </c>
      <c r="P23">
        <v>4</v>
      </c>
      <c r="Q23">
        <v>0</v>
      </c>
      <c r="R23">
        <v>46.85</v>
      </c>
      <c r="S23">
        <v>67</v>
      </c>
      <c r="T23">
        <v>67</v>
      </c>
      <c r="U23">
        <v>6</v>
      </c>
      <c r="V23">
        <v>0</v>
      </c>
      <c r="W23" t="s">
        <v>14</v>
      </c>
      <c r="X23">
        <v>119.85</v>
      </c>
    </row>
    <row r="24" spans="1:24" ht="15">
      <c r="A24">
        <v>17</v>
      </c>
      <c r="B24">
        <v>57590</v>
      </c>
      <c r="C24" t="s">
        <v>52</v>
      </c>
      <c r="D24" t="s">
        <v>32</v>
      </c>
      <c r="E24" t="s">
        <v>53</v>
      </c>
      <c r="F24" t="str">
        <f>"00322329"</f>
        <v>00322329</v>
      </c>
      <c r="G24">
        <v>19</v>
      </c>
      <c r="H24">
        <v>0</v>
      </c>
      <c r="I24">
        <v>0</v>
      </c>
      <c r="J24">
        <v>0</v>
      </c>
      <c r="K24">
        <v>0</v>
      </c>
      <c r="L24">
        <v>7</v>
      </c>
      <c r="N24">
        <v>3</v>
      </c>
      <c r="O24">
        <v>10</v>
      </c>
      <c r="P24">
        <v>4</v>
      </c>
      <c r="Q24">
        <v>0</v>
      </c>
      <c r="R24">
        <v>33</v>
      </c>
      <c r="S24">
        <v>85</v>
      </c>
      <c r="T24">
        <v>85</v>
      </c>
      <c r="U24">
        <v>0</v>
      </c>
      <c r="V24">
        <v>0</v>
      </c>
      <c r="W24" t="s">
        <v>14</v>
      </c>
      <c r="X24">
        <v>118</v>
      </c>
    </row>
    <row r="25" spans="1:24" ht="15">
      <c r="A25">
        <v>18</v>
      </c>
      <c r="B25">
        <v>47861</v>
      </c>
      <c r="C25" t="s">
        <v>54</v>
      </c>
      <c r="D25" t="s">
        <v>55</v>
      </c>
      <c r="E25" t="s">
        <v>56</v>
      </c>
      <c r="F25" t="str">
        <f>"201004000014"</f>
        <v>201004000014</v>
      </c>
      <c r="G25">
        <v>14.73</v>
      </c>
      <c r="H25">
        <v>0</v>
      </c>
      <c r="I25">
        <v>0</v>
      </c>
      <c r="J25">
        <v>0</v>
      </c>
      <c r="K25">
        <v>0</v>
      </c>
      <c r="O25">
        <v>0</v>
      </c>
      <c r="P25">
        <v>0</v>
      </c>
      <c r="Q25">
        <v>2</v>
      </c>
      <c r="R25">
        <v>16.73</v>
      </c>
      <c r="S25">
        <v>93</v>
      </c>
      <c r="T25">
        <v>93</v>
      </c>
      <c r="U25">
        <v>6</v>
      </c>
      <c r="V25">
        <v>0</v>
      </c>
      <c r="W25" t="s">
        <v>14</v>
      </c>
      <c r="X25">
        <v>115.73</v>
      </c>
    </row>
    <row r="26" spans="1:24" ht="15">
      <c r="A26">
        <v>19</v>
      </c>
      <c r="B26">
        <v>76336</v>
      </c>
      <c r="C26" t="s">
        <v>59</v>
      </c>
      <c r="D26" t="s">
        <v>60</v>
      </c>
      <c r="E26" t="s">
        <v>61</v>
      </c>
      <c r="F26" t="str">
        <f>"00635731"</f>
        <v>00635731</v>
      </c>
      <c r="G26">
        <v>19.35</v>
      </c>
      <c r="H26">
        <v>7</v>
      </c>
      <c r="I26">
        <v>40</v>
      </c>
      <c r="J26">
        <v>28</v>
      </c>
      <c r="K26">
        <v>28</v>
      </c>
      <c r="L26">
        <v>7</v>
      </c>
      <c r="O26">
        <v>7</v>
      </c>
      <c r="P26">
        <v>4</v>
      </c>
      <c r="Q26">
        <v>0</v>
      </c>
      <c r="R26">
        <v>105.35</v>
      </c>
      <c r="S26">
        <v>0</v>
      </c>
      <c r="T26">
        <v>0</v>
      </c>
      <c r="U26">
        <v>9</v>
      </c>
      <c r="V26">
        <v>0</v>
      </c>
      <c r="W26" t="s">
        <v>14</v>
      </c>
      <c r="X26">
        <v>114.35</v>
      </c>
    </row>
    <row r="27" spans="1:24" ht="15">
      <c r="A27">
        <v>20</v>
      </c>
      <c r="B27">
        <v>86567</v>
      </c>
      <c r="C27" t="s">
        <v>62</v>
      </c>
      <c r="D27" t="s">
        <v>63</v>
      </c>
      <c r="E27" t="s">
        <v>21</v>
      </c>
      <c r="F27" t="str">
        <f>"200812000262"</f>
        <v>200812000262</v>
      </c>
      <c r="G27">
        <v>19.93</v>
      </c>
      <c r="H27">
        <v>0</v>
      </c>
      <c r="I27">
        <v>40</v>
      </c>
      <c r="J27">
        <v>28</v>
      </c>
      <c r="K27">
        <v>28</v>
      </c>
      <c r="L27">
        <v>7</v>
      </c>
      <c r="M27">
        <v>5</v>
      </c>
      <c r="O27">
        <v>12</v>
      </c>
      <c r="P27">
        <v>4</v>
      </c>
      <c r="Q27">
        <v>2</v>
      </c>
      <c r="R27">
        <v>105.93</v>
      </c>
      <c r="S27">
        <v>0</v>
      </c>
      <c r="T27">
        <v>0</v>
      </c>
      <c r="U27">
        <v>6</v>
      </c>
      <c r="V27">
        <v>0</v>
      </c>
      <c r="W27" t="s">
        <v>14</v>
      </c>
      <c r="X27">
        <v>111.93</v>
      </c>
    </row>
    <row r="28" spans="1:24" ht="15">
      <c r="A28">
        <v>21</v>
      </c>
      <c r="B28">
        <v>23290</v>
      </c>
      <c r="C28" t="s">
        <v>64</v>
      </c>
      <c r="D28" t="s">
        <v>50</v>
      </c>
      <c r="E28" t="s">
        <v>21</v>
      </c>
      <c r="F28" t="str">
        <f>"200801010818"</f>
        <v>200801010818</v>
      </c>
      <c r="G28">
        <v>18.68</v>
      </c>
      <c r="H28">
        <v>7</v>
      </c>
      <c r="I28">
        <v>40</v>
      </c>
      <c r="J28">
        <v>28</v>
      </c>
      <c r="K28">
        <v>28</v>
      </c>
      <c r="L28">
        <v>14</v>
      </c>
      <c r="O28">
        <v>14</v>
      </c>
      <c r="P28">
        <v>4</v>
      </c>
      <c r="Q28">
        <v>0</v>
      </c>
      <c r="R28">
        <v>111.68</v>
      </c>
      <c r="S28">
        <v>0</v>
      </c>
      <c r="T28">
        <v>0</v>
      </c>
      <c r="U28">
        <v>0</v>
      </c>
      <c r="V28">
        <v>0</v>
      </c>
      <c r="W28" t="s">
        <v>14</v>
      </c>
      <c r="X28">
        <v>111.68</v>
      </c>
    </row>
    <row r="29" spans="1:24" ht="15">
      <c r="A29">
        <v>22</v>
      </c>
      <c r="B29">
        <v>84503</v>
      </c>
      <c r="C29" t="s">
        <v>65</v>
      </c>
      <c r="D29" t="s">
        <v>66</v>
      </c>
      <c r="E29" t="s">
        <v>67</v>
      </c>
      <c r="F29" t="str">
        <f>"00005974"</f>
        <v>00005974</v>
      </c>
      <c r="G29">
        <v>18.3</v>
      </c>
      <c r="H29">
        <v>0</v>
      </c>
      <c r="I29">
        <v>40</v>
      </c>
      <c r="J29">
        <v>28</v>
      </c>
      <c r="K29">
        <v>28</v>
      </c>
      <c r="L29">
        <v>7</v>
      </c>
      <c r="N29">
        <v>3</v>
      </c>
      <c r="O29">
        <v>10</v>
      </c>
      <c r="P29">
        <v>4</v>
      </c>
      <c r="Q29">
        <v>2</v>
      </c>
      <c r="R29">
        <v>102.3</v>
      </c>
      <c r="S29">
        <v>0</v>
      </c>
      <c r="T29">
        <v>0</v>
      </c>
      <c r="U29">
        <v>9</v>
      </c>
      <c r="V29">
        <v>0</v>
      </c>
      <c r="W29" t="s">
        <v>14</v>
      </c>
      <c r="X29">
        <v>111.3</v>
      </c>
    </row>
    <row r="30" spans="1:24" ht="15">
      <c r="A30">
        <v>23</v>
      </c>
      <c r="B30">
        <v>54769</v>
      </c>
      <c r="C30" t="s">
        <v>68</v>
      </c>
      <c r="D30" t="s">
        <v>69</v>
      </c>
      <c r="E30" t="s">
        <v>70</v>
      </c>
      <c r="F30" t="str">
        <f>"201503000207"</f>
        <v>201503000207</v>
      </c>
      <c r="G30">
        <v>22.73</v>
      </c>
      <c r="H30">
        <v>0</v>
      </c>
      <c r="I30">
        <v>40</v>
      </c>
      <c r="J30">
        <v>28</v>
      </c>
      <c r="K30">
        <v>28</v>
      </c>
      <c r="L30">
        <v>7</v>
      </c>
      <c r="O30">
        <v>7</v>
      </c>
      <c r="P30">
        <v>4</v>
      </c>
      <c r="Q30">
        <v>0</v>
      </c>
      <c r="R30">
        <v>101.73</v>
      </c>
      <c r="S30">
        <v>0</v>
      </c>
      <c r="T30">
        <v>0</v>
      </c>
      <c r="U30">
        <v>9</v>
      </c>
      <c r="V30">
        <v>0</v>
      </c>
      <c r="W30" t="s">
        <v>14</v>
      </c>
      <c r="X30">
        <v>110.73</v>
      </c>
    </row>
    <row r="31" spans="1:24" ht="15">
      <c r="A31">
        <v>24</v>
      </c>
      <c r="B31">
        <v>37487</v>
      </c>
      <c r="C31" t="s">
        <v>71</v>
      </c>
      <c r="D31" t="s">
        <v>72</v>
      </c>
      <c r="E31" t="s">
        <v>73</v>
      </c>
      <c r="F31" t="str">
        <f>"00480187"</f>
        <v>00480187</v>
      </c>
      <c r="G31">
        <v>18.95</v>
      </c>
      <c r="H31">
        <v>0</v>
      </c>
      <c r="I31">
        <v>0</v>
      </c>
      <c r="J31">
        <v>28</v>
      </c>
      <c r="K31">
        <v>28</v>
      </c>
      <c r="N31">
        <v>3</v>
      </c>
      <c r="O31">
        <v>3</v>
      </c>
      <c r="P31">
        <v>4</v>
      </c>
      <c r="Q31">
        <v>2</v>
      </c>
      <c r="R31">
        <v>55.95</v>
      </c>
      <c r="S31">
        <v>54</v>
      </c>
      <c r="T31">
        <v>54</v>
      </c>
      <c r="U31">
        <v>0</v>
      </c>
      <c r="V31">
        <v>0</v>
      </c>
      <c r="W31" t="s">
        <v>14</v>
      </c>
      <c r="X31">
        <v>109.95</v>
      </c>
    </row>
    <row r="32" spans="1:24" ht="15">
      <c r="A32">
        <v>25</v>
      </c>
      <c r="B32">
        <v>35561</v>
      </c>
      <c r="C32" t="s">
        <v>77</v>
      </c>
      <c r="D32" t="s">
        <v>78</v>
      </c>
      <c r="E32" t="s">
        <v>17</v>
      </c>
      <c r="F32" t="str">
        <f>"00516414"</f>
        <v>00516414</v>
      </c>
      <c r="G32">
        <v>19.4</v>
      </c>
      <c r="H32">
        <v>7</v>
      </c>
      <c r="I32">
        <v>0</v>
      </c>
      <c r="J32">
        <v>20</v>
      </c>
      <c r="K32">
        <v>20</v>
      </c>
      <c r="N32">
        <v>3</v>
      </c>
      <c r="O32">
        <v>3</v>
      </c>
      <c r="P32">
        <v>4</v>
      </c>
      <c r="Q32">
        <v>2</v>
      </c>
      <c r="R32">
        <v>55.4</v>
      </c>
      <c r="S32">
        <v>54</v>
      </c>
      <c r="T32">
        <v>54</v>
      </c>
      <c r="U32">
        <v>0</v>
      </c>
      <c r="V32">
        <v>0</v>
      </c>
      <c r="W32" t="s">
        <v>14</v>
      </c>
      <c r="X32">
        <v>109.4</v>
      </c>
    </row>
    <row r="33" spans="1:24" ht="15">
      <c r="A33">
        <v>26</v>
      </c>
      <c r="B33">
        <v>89628</v>
      </c>
      <c r="C33" t="s">
        <v>79</v>
      </c>
      <c r="D33" t="s">
        <v>17</v>
      </c>
      <c r="E33" t="s">
        <v>80</v>
      </c>
      <c r="F33" t="str">
        <f>"00369228"</f>
        <v>00369228</v>
      </c>
      <c r="G33">
        <v>15.98</v>
      </c>
      <c r="H33">
        <v>0</v>
      </c>
      <c r="I33">
        <v>0</v>
      </c>
      <c r="J33">
        <v>0</v>
      </c>
      <c r="K33">
        <v>0</v>
      </c>
      <c r="N33">
        <v>3</v>
      </c>
      <c r="O33">
        <v>3</v>
      </c>
      <c r="P33">
        <v>4</v>
      </c>
      <c r="Q33">
        <v>2</v>
      </c>
      <c r="R33">
        <v>24.98</v>
      </c>
      <c r="S33">
        <v>78</v>
      </c>
      <c r="T33">
        <v>78</v>
      </c>
      <c r="U33">
        <v>6</v>
      </c>
      <c r="V33">
        <v>0</v>
      </c>
      <c r="W33" t="s">
        <v>14</v>
      </c>
      <c r="X33">
        <v>108.98</v>
      </c>
    </row>
    <row r="34" spans="1:24" ht="15">
      <c r="A34">
        <v>27</v>
      </c>
      <c r="B34">
        <v>47002</v>
      </c>
      <c r="C34" t="s">
        <v>81</v>
      </c>
      <c r="D34" t="s">
        <v>82</v>
      </c>
      <c r="E34" t="s">
        <v>83</v>
      </c>
      <c r="F34" t="str">
        <f>"00480425"</f>
        <v>00480425</v>
      </c>
      <c r="G34">
        <v>20.78</v>
      </c>
      <c r="H34">
        <v>0</v>
      </c>
      <c r="I34">
        <v>0</v>
      </c>
      <c r="J34">
        <v>20</v>
      </c>
      <c r="K34">
        <v>20</v>
      </c>
      <c r="L34">
        <v>7</v>
      </c>
      <c r="N34">
        <v>3</v>
      </c>
      <c r="O34">
        <v>10</v>
      </c>
      <c r="P34">
        <v>4</v>
      </c>
      <c r="Q34">
        <v>2</v>
      </c>
      <c r="R34">
        <v>56.78</v>
      </c>
      <c r="S34">
        <v>45</v>
      </c>
      <c r="T34">
        <v>45</v>
      </c>
      <c r="U34">
        <v>6</v>
      </c>
      <c r="V34">
        <v>0</v>
      </c>
      <c r="W34" t="s">
        <v>14</v>
      </c>
      <c r="X34">
        <v>107.78</v>
      </c>
    </row>
    <row r="35" spans="1:24" ht="15">
      <c r="A35">
        <v>28</v>
      </c>
      <c r="B35">
        <v>83513</v>
      </c>
      <c r="C35" t="s">
        <v>96</v>
      </c>
      <c r="D35" t="s">
        <v>97</v>
      </c>
      <c r="E35" t="s">
        <v>27</v>
      </c>
      <c r="F35" t="str">
        <f>"201402012135"</f>
        <v>201402012135</v>
      </c>
      <c r="G35">
        <v>22.2</v>
      </c>
      <c r="H35">
        <v>0</v>
      </c>
      <c r="I35">
        <v>0</v>
      </c>
      <c r="J35">
        <v>28</v>
      </c>
      <c r="K35">
        <v>28</v>
      </c>
      <c r="L35">
        <v>7</v>
      </c>
      <c r="M35">
        <v>5</v>
      </c>
      <c r="O35">
        <v>12</v>
      </c>
      <c r="P35">
        <v>4</v>
      </c>
      <c r="Q35">
        <v>2</v>
      </c>
      <c r="R35">
        <v>68.2</v>
      </c>
      <c r="S35">
        <v>37</v>
      </c>
      <c r="T35">
        <v>37</v>
      </c>
      <c r="U35">
        <v>0</v>
      </c>
      <c r="V35">
        <v>0</v>
      </c>
      <c r="W35" t="s">
        <v>14</v>
      </c>
      <c r="X35">
        <v>105.2</v>
      </c>
    </row>
    <row r="36" spans="1:24" ht="15">
      <c r="A36">
        <v>29</v>
      </c>
      <c r="B36">
        <v>104264</v>
      </c>
      <c r="C36" t="s">
        <v>100</v>
      </c>
      <c r="D36" t="s">
        <v>101</v>
      </c>
      <c r="E36" t="s">
        <v>27</v>
      </c>
      <c r="F36" t="str">
        <f>"00596432"</f>
        <v>00596432</v>
      </c>
      <c r="G36">
        <v>20.05</v>
      </c>
      <c r="H36">
        <v>7</v>
      </c>
      <c r="I36">
        <v>40</v>
      </c>
      <c r="J36">
        <v>28</v>
      </c>
      <c r="K36">
        <v>28</v>
      </c>
      <c r="N36">
        <v>6</v>
      </c>
      <c r="O36">
        <v>6</v>
      </c>
      <c r="P36">
        <v>4</v>
      </c>
      <c r="Q36">
        <v>0</v>
      </c>
      <c r="R36">
        <v>105.05</v>
      </c>
      <c r="S36">
        <v>0</v>
      </c>
      <c r="T36">
        <v>0</v>
      </c>
      <c r="U36">
        <v>0</v>
      </c>
      <c r="V36">
        <v>0</v>
      </c>
      <c r="W36" t="s">
        <v>14</v>
      </c>
      <c r="X36">
        <v>105.05</v>
      </c>
    </row>
    <row r="37" spans="1:24" ht="15">
      <c r="A37">
        <v>30</v>
      </c>
      <c r="B37">
        <v>11345</v>
      </c>
      <c r="C37" t="s">
        <v>105</v>
      </c>
      <c r="D37" t="s">
        <v>20</v>
      </c>
      <c r="E37" t="s">
        <v>106</v>
      </c>
      <c r="F37" t="str">
        <f>"201402010320"</f>
        <v>201402010320</v>
      </c>
      <c r="G37">
        <v>16.83</v>
      </c>
      <c r="H37">
        <v>0</v>
      </c>
      <c r="I37">
        <v>40</v>
      </c>
      <c r="J37">
        <v>28</v>
      </c>
      <c r="K37">
        <v>28</v>
      </c>
      <c r="L37">
        <v>7</v>
      </c>
      <c r="O37">
        <v>7</v>
      </c>
      <c r="P37">
        <v>4</v>
      </c>
      <c r="Q37">
        <v>2</v>
      </c>
      <c r="R37">
        <v>97.83</v>
      </c>
      <c r="S37">
        <v>0</v>
      </c>
      <c r="T37">
        <v>0</v>
      </c>
      <c r="U37">
        <v>6</v>
      </c>
      <c r="V37">
        <v>0</v>
      </c>
      <c r="W37" t="s">
        <v>14</v>
      </c>
      <c r="X37">
        <v>103.83</v>
      </c>
    </row>
    <row r="38" spans="1:24" ht="15">
      <c r="A38">
        <v>31</v>
      </c>
      <c r="B38">
        <v>23549</v>
      </c>
      <c r="C38" t="s">
        <v>108</v>
      </c>
      <c r="D38" t="s">
        <v>17</v>
      </c>
      <c r="E38" t="s">
        <v>109</v>
      </c>
      <c r="F38" t="str">
        <f>"200712000815"</f>
        <v>200712000815</v>
      </c>
      <c r="G38">
        <v>18.43</v>
      </c>
      <c r="H38">
        <v>0</v>
      </c>
      <c r="I38">
        <v>0</v>
      </c>
      <c r="J38">
        <v>28</v>
      </c>
      <c r="K38">
        <v>28</v>
      </c>
      <c r="L38">
        <v>7</v>
      </c>
      <c r="O38">
        <v>7</v>
      </c>
      <c r="P38">
        <v>4</v>
      </c>
      <c r="Q38">
        <v>2</v>
      </c>
      <c r="R38">
        <v>59.43</v>
      </c>
      <c r="S38">
        <v>44</v>
      </c>
      <c r="T38">
        <v>44</v>
      </c>
      <c r="U38">
        <v>0</v>
      </c>
      <c r="V38">
        <v>0</v>
      </c>
      <c r="W38" t="s">
        <v>14</v>
      </c>
      <c r="X38">
        <v>103.43</v>
      </c>
    </row>
    <row r="39" spans="1:24" ht="15">
      <c r="A39">
        <v>32</v>
      </c>
      <c r="B39">
        <v>52639</v>
      </c>
      <c r="C39" t="s">
        <v>110</v>
      </c>
      <c r="D39" t="s">
        <v>27</v>
      </c>
      <c r="E39" t="s">
        <v>111</v>
      </c>
      <c r="F39" t="str">
        <f>"00084514"</f>
        <v>00084514</v>
      </c>
      <c r="G39">
        <v>18.78</v>
      </c>
      <c r="H39">
        <v>7</v>
      </c>
      <c r="I39">
        <v>40</v>
      </c>
      <c r="J39">
        <v>20</v>
      </c>
      <c r="K39">
        <v>20</v>
      </c>
      <c r="M39">
        <v>5</v>
      </c>
      <c r="O39">
        <v>5</v>
      </c>
      <c r="P39">
        <v>4</v>
      </c>
      <c r="Q39">
        <v>2</v>
      </c>
      <c r="R39">
        <v>96.78</v>
      </c>
      <c r="S39">
        <v>0</v>
      </c>
      <c r="T39">
        <v>0</v>
      </c>
      <c r="U39">
        <v>6</v>
      </c>
      <c r="V39">
        <v>0</v>
      </c>
      <c r="W39" t="s">
        <v>14</v>
      </c>
      <c r="X39">
        <v>102.78</v>
      </c>
    </row>
    <row r="40" spans="1:24" ht="15">
      <c r="A40">
        <v>33</v>
      </c>
      <c r="B40">
        <v>44108</v>
      </c>
      <c r="C40" t="s">
        <v>115</v>
      </c>
      <c r="D40" t="s">
        <v>17</v>
      </c>
      <c r="E40" t="s">
        <v>21</v>
      </c>
      <c r="F40" t="str">
        <f>"00479589"</f>
        <v>00479589</v>
      </c>
      <c r="G40">
        <v>18.05</v>
      </c>
      <c r="H40">
        <v>7</v>
      </c>
      <c r="I40">
        <v>0</v>
      </c>
      <c r="J40">
        <v>20</v>
      </c>
      <c r="K40">
        <v>20</v>
      </c>
      <c r="N40">
        <v>3</v>
      </c>
      <c r="O40">
        <v>3</v>
      </c>
      <c r="P40">
        <v>4</v>
      </c>
      <c r="Q40">
        <v>0</v>
      </c>
      <c r="R40">
        <v>52.05</v>
      </c>
      <c r="S40">
        <v>35</v>
      </c>
      <c r="T40">
        <v>35</v>
      </c>
      <c r="U40">
        <v>15</v>
      </c>
      <c r="V40">
        <v>0</v>
      </c>
      <c r="W40" t="s">
        <v>14</v>
      </c>
      <c r="X40">
        <v>102.05</v>
      </c>
    </row>
    <row r="41" spans="1:24" ht="15">
      <c r="A41">
        <v>34</v>
      </c>
      <c r="B41">
        <v>56503</v>
      </c>
      <c r="C41" t="s">
        <v>116</v>
      </c>
      <c r="D41" t="s">
        <v>23</v>
      </c>
      <c r="E41" t="s">
        <v>21</v>
      </c>
      <c r="F41" t="str">
        <f>"201412004311"</f>
        <v>201412004311</v>
      </c>
      <c r="G41">
        <v>18.03</v>
      </c>
      <c r="H41">
        <v>0</v>
      </c>
      <c r="I41">
        <v>40</v>
      </c>
      <c r="J41">
        <v>28</v>
      </c>
      <c r="K41">
        <v>28</v>
      </c>
      <c r="L41">
        <v>7</v>
      </c>
      <c r="M41">
        <v>5</v>
      </c>
      <c r="O41">
        <v>12</v>
      </c>
      <c r="P41">
        <v>4</v>
      </c>
      <c r="Q41">
        <v>0</v>
      </c>
      <c r="R41">
        <v>102.03</v>
      </c>
      <c r="S41">
        <v>0</v>
      </c>
      <c r="T41">
        <v>0</v>
      </c>
      <c r="U41">
        <v>0</v>
      </c>
      <c r="V41">
        <v>0</v>
      </c>
      <c r="W41" t="s">
        <v>14</v>
      </c>
      <c r="X41">
        <v>102.03</v>
      </c>
    </row>
    <row r="42" spans="1:24" ht="15">
      <c r="A42">
        <v>35</v>
      </c>
      <c r="B42">
        <v>93265</v>
      </c>
      <c r="C42" t="s">
        <v>117</v>
      </c>
      <c r="D42" t="s">
        <v>29</v>
      </c>
      <c r="E42" t="s">
        <v>118</v>
      </c>
      <c r="F42" t="str">
        <f>"00019051"</f>
        <v>00019051</v>
      </c>
      <c r="G42">
        <v>18.88</v>
      </c>
      <c r="H42">
        <v>7</v>
      </c>
      <c r="I42">
        <v>40</v>
      </c>
      <c r="J42">
        <v>20</v>
      </c>
      <c r="K42">
        <v>20</v>
      </c>
      <c r="L42">
        <v>7</v>
      </c>
      <c r="M42">
        <v>5</v>
      </c>
      <c r="O42">
        <v>12</v>
      </c>
      <c r="P42">
        <v>4</v>
      </c>
      <c r="Q42">
        <v>0</v>
      </c>
      <c r="R42">
        <v>101.88</v>
      </c>
      <c r="S42">
        <v>0</v>
      </c>
      <c r="T42">
        <v>0</v>
      </c>
      <c r="U42">
        <v>0</v>
      </c>
      <c r="V42">
        <v>0</v>
      </c>
      <c r="W42" t="s">
        <v>14</v>
      </c>
      <c r="X42">
        <v>101.88</v>
      </c>
    </row>
    <row r="43" spans="1:24" ht="15">
      <c r="A43">
        <v>36</v>
      </c>
      <c r="B43">
        <v>113106</v>
      </c>
      <c r="C43" t="s">
        <v>119</v>
      </c>
      <c r="D43" t="s">
        <v>29</v>
      </c>
      <c r="E43" t="s">
        <v>120</v>
      </c>
      <c r="F43" t="str">
        <f>"201504002815"</f>
        <v>201504002815</v>
      </c>
      <c r="G43">
        <v>23.58</v>
      </c>
      <c r="H43">
        <v>0</v>
      </c>
      <c r="I43">
        <v>40</v>
      </c>
      <c r="J43">
        <v>20</v>
      </c>
      <c r="K43">
        <v>20</v>
      </c>
      <c r="L43">
        <v>14</v>
      </c>
      <c r="O43">
        <v>14</v>
      </c>
      <c r="P43">
        <v>4</v>
      </c>
      <c r="Q43">
        <v>0</v>
      </c>
      <c r="R43">
        <v>101.58</v>
      </c>
      <c r="S43">
        <v>0</v>
      </c>
      <c r="T43">
        <v>0</v>
      </c>
      <c r="U43">
        <v>0</v>
      </c>
      <c r="V43">
        <v>0</v>
      </c>
      <c r="W43" t="s">
        <v>14</v>
      </c>
      <c r="X43">
        <v>101.58</v>
      </c>
    </row>
    <row r="44" spans="1:24" ht="15">
      <c r="A44">
        <v>37</v>
      </c>
      <c r="B44">
        <v>630</v>
      </c>
      <c r="C44" t="s">
        <v>126</v>
      </c>
      <c r="D44" t="s">
        <v>127</v>
      </c>
      <c r="E44" t="s">
        <v>30</v>
      </c>
      <c r="F44" t="str">
        <f>"201510003818"</f>
        <v>201510003818</v>
      </c>
      <c r="G44">
        <v>18.68</v>
      </c>
      <c r="H44">
        <v>0</v>
      </c>
      <c r="I44">
        <v>0</v>
      </c>
      <c r="J44">
        <v>28</v>
      </c>
      <c r="K44">
        <v>28</v>
      </c>
      <c r="L44">
        <v>7</v>
      </c>
      <c r="O44">
        <v>7</v>
      </c>
      <c r="P44">
        <v>4</v>
      </c>
      <c r="Q44">
        <v>2</v>
      </c>
      <c r="R44">
        <v>59.68</v>
      </c>
      <c r="S44">
        <v>41</v>
      </c>
      <c r="T44">
        <v>41</v>
      </c>
      <c r="U44">
        <v>0</v>
      </c>
      <c r="V44">
        <v>0</v>
      </c>
      <c r="W44" t="s">
        <v>14</v>
      </c>
      <c r="X44">
        <v>100.68</v>
      </c>
    </row>
    <row r="45" spans="1:24" ht="15">
      <c r="A45">
        <v>38</v>
      </c>
      <c r="B45">
        <v>62088</v>
      </c>
      <c r="C45" t="s">
        <v>128</v>
      </c>
      <c r="D45" t="s">
        <v>29</v>
      </c>
      <c r="E45" t="s">
        <v>27</v>
      </c>
      <c r="F45" t="str">
        <f>"00610016"</f>
        <v>00610016</v>
      </c>
      <c r="G45">
        <v>21.28</v>
      </c>
      <c r="H45">
        <v>7</v>
      </c>
      <c r="I45">
        <v>0</v>
      </c>
      <c r="J45">
        <v>28</v>
      </c>
      <c r="K45">
        <v>28</v>
      </c>
      <c r="L45">
        <v>7</v>
      </c>
      <c r="M45">
        <v>5</v>
      </c>
      <c r="O45">
        <v>12</v>
      </c>
      <c r="P45">
        <v>4</v>
      </c>
      <c r="Q45">
        <v>0</v>
      </c>
      <c r="R45">
        <v>72.28</v>
      </c>
      <c r="S45">
        <v>8</v>
      </c>
      <c r="T45">
        <v>8</v>
      </c>
      <c r="U45">
        <v>0</v>
      </c>
      <c r="V45">
        <v>20</v>
      </c>
      <c r="W45" t="s">
        <v>14</v>
      </c>
      <c r="X45">
        <v>100.28</v>
      </c>
    </row>
    <row r="46" spans="1:24" ht="15">
      <c r="A46">
        <v>39</v>
      </c>
      <c r="B46">
        <v>862</v>
      </c>
      <c r="C46" t="s">
        <v>133</v>
      </c>
      <c r="D46" t="s">
        <v>75</v>
      </c>
      <c r="E46" t="s">
        <v>17</v>
      </c>
      <c r="F46" t="str">
        <f>"00445291"</f>
        <v>00445291</v>
      </c>
      <c r="G46">
        <v>21.2</v>
      </c>
      <c r="H46">
        <v>0</v>
      </c>
      <c r="I46">
        <v>0</v>
      </c>
      <c r="J46">
        <v>28</v>
      </c>
      <c r="K46">
        <v>28</v>
      </c>
      <c r="N46">
        <v>6</v>
      </c>
      <c r="O46">
        <v>6</v>
      </c>
      <c r="P46">
        <v>4</v>
      </c>
      <c r="Q46">
        <v>2</v>
      </c>
      <c r="R46">
        <v>61.2</v>
      </c>
      <c r="S46">
        <v>32</v>
      </c>
      <c r="T46">
        <v>32</v>
      </c>
      <c r="U46">
        <v>6</v>
      </c>
      <c r="V46">
        <v>0</v>
      </c>
      <c r="W46" t="s">
        <v>14</v>
      </c>
      <c r="X46">
        <v>99.2</v>
      </c>
    </row>
    <row r="47" spans="1:24" ht="15">
      <c r="A47">
        <v>40</v>
      </c>
      <c r="B47">
        <v>29248</v>
      </c>
      <c r="C47" t="s">
        <v>140</v>
      </c>
      <c r="D47" t="s">
        <v>29</v>
      </c>
      <c r="E47" t="s">
        <v>141</v>
      </c>
      <c r="F47" t="str">
        <f>"201410009303"</f>
        <v>201410009303</v>
      </c>
      <c r="G47">
        <v>19.58</v>
      </c>
      <c r="H47">
        <v>7</v>
      </c>
      <c r="I47">
        <v>0</v>
      </c>
      <c r="J47">
        <v>28</v>
      </c>
      <c r="K47">
        <v>28</v>
      </c>
      <c r="L47">
        <v>7</v>
      </c>
      <c r="M47">
        <v>5</v>
      </c>
      <c r="O47">
        <v>12</v>
      </c>
      <c r="P47">
        <v>4</v>
      </c>
      <c r="Q47">
        <v>0</v>
      </c>
      <c r="R47">
        <v>70.58</v>
      </c>
      <c r="S47">
        <v>28</v>
      </c>
      <c r="T47">
        <v>28</v>
      </c>
      <c r="U47">
        <v>0</v>
      </c>
      <c r="V47">
        <v>0</v>
      </c>
      <c r="W47" t="s">
        <v>14</v>
      </c>
      <c r="X47">
        <v>98.58</v>
      </c>
    </row>
    <row r="48" spans="1:24" ht="15">
      <c r="A48">
        <v>41</v>
      </c>
      <c r="B48">
        <v>43041</v>
      </c>
      <c r="C48" t="s">
        <v>146</v>
      </c>
      <c r="D48" t="s">
        <v>41</v>
      </c>
      <c r="E48" t="s">
        <v>17</v>
      </c>
      <c r="F48" t="str">
        <f>"00508836"</f>
        <v>00508836</v>
      </c>
      <c r="G48">
        <v>21.63</v>
      </c>
      <c r="H48">
        <v>0</v>
      </c>
      <c r="I48">
        <v>0</v>
      </c>
      <c r="J48">
        <v>28</v>
      </c>
      <c r="K48">
        <v>28</v>
      </c>
      <c r="O48">
        <v>0</v>
      </c>
      <c r="P48">
        <v>4</v>
      </c>
      <c r="Q48">
        <v>2</v>
      </c>
      <c r="R48">
        <v>55.63</v>
      </c>
      <c r="S48">
        <v>42</v>
      </c>
      <c r="T48">
        <v>42</v>
      </c>
      <c r="U48">
        <v>0</v>
      </c>
      <c r="V48">
        <v>0</v>
      </c>
      <c r="W48" t="s">
        <v>14</v>
      </c>
      <c r="X48">
        <v>97.63</v>
      </c>
    </row>
    <row r="49" spans="1:24" ht="15">
      <c r="A49">
        <v>42</v>
      </c>
      <c r="B49">
        <v>11306</v>
      </c>
      <c r="C49" t="s">
        <v>147</v>
      </c>
      <c r="D49" t="s">
        <v>95</v>
      </c>
      <c r="E49" t="s">
        <v>148</v>
      </c>
      <c r="F49" t="str">
        <f>"00015767"</f>
        <v>00015767</v>
      </c>
      <c r="G49">
        <v>19.48</v>
      </c>
      <c r="H49">
        <v>0</v>
      </c>
      <c r="I49">
        <v>40</v>
      </c>
      <c r="J49">
        <v>28</v>
      </c>
      <c r="K49">
        <v>28</v>
      </c>
      <c r="N49">
        <v>3</v>
      </c>
      <c r="O49">
        <v>3</v>
      </c>
      <c r="P49">
        <v>4</v>
      </c>
      <c r="Q49">
        <v>0</v>
      </c>
      <c r="R49">
        <v>94.48</v>
      </c>
      <c r="S49">
        <v>0</v>
      </c>
      <c r="T49">
        <v>0</v>
      </c>
      <c r="U49">
        <v>3</v>
      </c>
      <c r="V49">
        <v>0</v>
      </c>
      <c r="W49" t="s">
        <v>14</v>
      </c>
      <c r="X49">
        <v>97.48</v>
      </c>
    </row>
    <row r="50" spans="1:24" ht="15">
      <c r="A50">
        <v>43</v>
      </c>
      <c r="B50">
        <v>4744</v>
      </c>
      <c r="C50" t="s">
        <v>149</v>
      </c>
      <c r="D50" t="s">
        <v>150</v>
      </c>
      <c r="E50" t="s">
        <v>151</v>
      </c>
      <c r="F50" t="str">
        <f>"00465721"</f>
        <v>00465721</v>
      </c>
      <c r="G50">
        <v>19.18</v>
      </c>
      <c r="H50">
        <v>0</v>
      </c>
      <c r="I50">
        <v>0</v>
      </c>
      <c r="J50">
        <v>28</v>
      </c>
      <c r="K50">
        <v>28</v>
      </c>
      <c r="L50">
        <v>7</v>
      </c>
      <c r="N50">
        <v>3</v>
      </c>
      <c r="O50">
        <v>10</v>
      </c>
      <c r="P50">
        <v>4</v>
      </c>
      <c r="Q50">
        <v>2</v>
      </c>
      <c r="R50">
        <v>63.18</v>
      </c>
      <c r="S50">
        <v>28</v>
      </c>
      <c r="T50">
        <v>28</v>
      </c>
      <c r="U50">
        <v>6</v>
      </c>
      <c r="V50">
        <v>0</v>
      </c>
      <c r="W50" t="s">
        <v>14</v>
      </c>
      <c r="X50">
        <v>97.18</v>
      </c>
    </row>
    <row r="51" spans="1:24" ht="15">
      <c r="A51">
        <v>44</v>
      </c>
      <c r="B51">
        <v>52426</v>
      </c>
      <c r="C51" t="s">
        <v>154</v>
      </c>
      <c r="D51" t="s">
        <v>155</v>
      </c>
      <c r="E51" t="s">
        <v>17</v>
      </c>
      <c r="F51" t="str">
        <f>"200801004190"</f>
        <v>200801004190</v>
      </c>
      <c r="G51">
        <v>18.08</v>
      </c>
      <c r="H51">
        <v>0</v>
      </c>
      <c r="I51">
        <v>40</v>
      </c>
      <c r="J51">
        <v>28</v>
      </c>
      <c r="K51">
        <v>28</v>
      </c>
      <c r="L51">
        <v>7</v>
      </c>
      <c r="O51">
        <v>7</v>
      </c>
      <c r="P51">
        <v>4</v>
      </c>
      <c r="Q51">
        <v>0</v>
      </c>
      <c r="R51">
        <v>97.08</v>
      </c>
      <c r="S51">
        <v>0</v>
      </c>
      <c r="T51">
        <v>0</v>
      </c>
      <c r="U51">
        <v>0</v>
      </c>
      <c r="V51">
        <v>0</v>
      </c>
      <c r="W51" t="s">
        <v>14</v>
      </c>
      <c r="X51">
        <v>97.08</v>
      </c>
    </row>
    <row r="52" spans="1:24" ht="15">
      <c r="A52">
        <v>45</v>
      </c>
      <c r="B52">
        <v>17604</v>
      </c>
      <c r="C52" t="s">
        <v>167</v>
      </c>
      <c r="D52" t="s">
        <v>168</v>
      </c>
      <c r="E52" t="s">
        <v>30</v>
      </c>
      <c r="F52" t="str">
        <f>"00600952"</f>
        <v>00600952</v>
      </c>
      <c r="G52">
        <v>20.1</v>
      </c>
      <c r="H52">
        <v>0</v>
      </c>
      <c r="I52">
        <v>40</v>
      </c>
      <c r="J52">
        <v>20</v>
      </c>
      <c r="K52">
        <v>20</v>
      </c>
      <c r="L52">
        <v>7</v>
      </c>
      <c r="O52">
        <v>7</v>
      </c>
      <c r="P52">
        <v>4</v>
      </c>
      <c r="Q52">
        <v>0</v>
      </c>
      <c r="R52">
        <v>91.1</v>
      </c>
      <c r="S52">
        <v>0</v>
      </c>
      <c r="T52">
        <v>0</v>
      </c>
      <c r="U52">
        <v>3</v>
      </c>
      <c r="V52">
        <v>0</v>
      </c>
      <c r="W52" t="s">
        <v>14</v>
      </c>
      <c r="X52">
        <v>94.1</v>
      </c>
    </row>
    <row r="53" spans="1:24" ht="15">
      <c r="A53">
        <v>46</v>
      </c>
      <c r="B53">
        <v>31906</v>
      </c>
      <c r="C53" t="s">
        <v>181</v>
      </c>
      <c r="D53" t="s">
        <v>66</v>
      </c>
      <c r="E53" t="s">
        <v>182</v>
      </c>
      <c r="F53" t="str">
        <f>"201108000021"</f>
        <v>201108000021</v>
      </c>
      <c r="G53">
        <v>20.48</v>
      </c>
      <c r="H53">
        <v>7</v>
      </c>
      <c r="I53">
        <v>0</v>
      </c>
      <c r="J53">
        <v>20</v>
      </c>
      <c r="K53">
        <v>20</v>
      </c>
      <c r="L53">
        <v>7</v>
      </c>
      <c r="O53">
        <v>7</v>
      </c>
      <c r="P53">
        <v>4</v>
      </c>
      <c r="Q53">
        <v>0</v>
      </c>
      <c r="R53">
        <v>58.48</v>
      </c>
      <c r="S53">
        <v>34</v>
      </c>
      <c r="T53">
        <v>34</v>
      </c>
      <c r="U53">
        <v>0</v>
      </c>
      <c r="V53">
        <v>0</v>
      </c>
      <c r="W53" t="s">
        <v>14</v>
      </c>
      <c r="X53">
        <v>92.48</v>
      </c>
    </row>
    <row r="54" spans="1:24" ht="15">
      <c r="A54">
        <v>47</v>
      </c>
      <c r="B54">
        <v>10014</v>
      </c>
      <c r="C54" t="s">
        <v>183</v>
      </c>
      <c r="D54" t="s">
        <v>16</v>
      </c>
      <c r="E54" t="s">
        <v>12</v>
      </c>
      <c r="F54" t="str">
        <f>"200803000798"</f>
        <v>200803000798</v>
      </c>
      <c r="G54">
        <v>16.43</v>
      </c>
      <c r="H54">
        <v>0</v>
      </c>
      <c r="I54">
        <v>0</v>
      </c>
      <c r="J54">
        <v>0</v>
      </c>
      <c r="K54">
        <v>0</v>
      </c>
      <c r="N54">
        <v>3</v>
      </c>
      <c r="O54">
        <v>3</v>
      </c>
      <c r="P54">
        <v>4</v>
      </c>
      <c r="Q54">
        <v>2</v>
      </c>
      <c r="R54">
        <v>25.43</v>
      </c>
      <c r="S54">
        <v>61</v>
      </c>
      <c r="T54">
        <v>61</v>
      </c>
      <c r="U54">
        <v>6</v>
      </c>
      <c r="V54">
        <v>0</v>
      </c>
      <c r="W54" t="s">
        <v>14</v>
      </c>
      <c r="X54">
        <v>92.43</v>
      </c>
    </row>
    <row r="55" spans="1:24" ht="15">
      <c r="A55">
        <v>48</v>
      </c>
      <c r="B55">
        <v>60318</v>
      </c>
      <c r="C55" t="s">
        <v>184</v>
      </c>
      <c r="D55" t="s">
        <v>29</v>
      </c>
      <c r="E55" t="s">
        <v>27</v>
      </c>
      <c r="F55" t="str">
        <f>"00546963"</f>
        <v>00546963</v>
      </c>
      <c r="G55">
        <v>15</v>
      </c>
      <c r="H55">
        <v>0</v>
      </c>
      <c r="I55">
        <v>40</v>
      </c>
      <c r="J55">
        <v>20</v>
      </c>
      <c r="K55">
        <v>20</v>
      </c>
      <c r="L55">
        <v>7</v>
      </c>
      <c r="O55">
        <v>7</v>
      </c>
      <c r="P55">
        <v>4</v>
      </c>
      <c r="Q55">
        <v>0</v>
      </c>
      <c r="R55">
        <v>86</v>
      </c>
      <c r="S55">
        <v>0</v>
      </c>
      <c r="T55">
        <v>0</v>
      </c>
      <c r="U55">
        <v>6</v>
      </c>
      <c r="V55">
        <v>0</v>
      </c>
      <c r="W55" t="s">
        <v>14</v>
      </c>
      <c r="X55">
        <v>92</v>
      </c>
    </row>
    <row r="56" spans="1:24" ht="15">
      <c r="A56">
        <v>49</v>
      </c>
      <c r="B56">
        <v>26053</v>
      </c>
      <c r="C56" t="s">
        <v>190</v>
      </c>
      <c r="D56" t="s">
        <v>29</v>
      </c>
      <c r="E56" t="s">
        <v>44</v>
      </c>
      <c r="F56" t="str">
        <f>"00626948"</f>
        <v>00626948</v>
      </c>
      <c r="G56">
        <v>15.15</v>
      </c>
      <c r="H56">
        <v>0</v>
      </c>
      <c r="I56">
        <v>0</v>
      </c>
      <c r="J56">
        <v>0</v>
      </c>
      <c r="K56">
        <v>0</v>
      </c>
      <c r="O56">
        <v>0</v>
      </c>
      <c r="P56">
        <v>4</v>
      </c>
      <c r="Q56">
        <v>0</v>
      </c>
      <c r="R56">
        <v>19.15</v>
      </c>
      <c r="S56">
        <v>66</v>
      </c>
      <c r="T56">
        <v>66</v>
      </c>
      <c r="U56">
        <v>6</v>
      </c>
      <c r="V56">
        <v>0</v>
      </c>
      <c r="W56" t="s">
        <v>14</v>
      </c>
      <c r="X56">
        <v>91.15</v>
      </c>
    </row>
    <row r="57" spans="1:24" ht="15">
      <c r="A57">
        <v>50</v>
      </c>
      <c r="B57">
        <v>97595</v>
      </c>
      <c r="C57" t="s">
        <v>191</v>
      </c>
      <c r="D57" t="s">
        <v>192</v>
      </c>
      <c r="E57" t="s">
        <v>151</v>
      </c>
      <c r="F57" t="str">
        <f>"200712003509"</f>
        <v>200712003509</v>
      </c>
      <c r="G57">
        <v>17</v>
      </c>
      <c r="H57">
        <v>0</v>
      </c>
      <c r="I57">
        <v>0</v>
      </c>
      <c r="J57">
        <v>20</v>
      </c>
      <c r="K57">
        <v>20</v>
      </c>
      <c r="L57">
        <v>7</v>
      </c>
      <c r="O57">
        <v>7</v>
      </c>
      <c r="P57">
        <v>4</v>
      </c>
      <c r="Q57">
        <v>0</v>
      </c>
      <c r="R57">
        <v>48</v>
      </c>
      <c r="S57">
        <v>0</v>
      </c>
      <c r="T57">
        <v>0</v>
      </c>
      <c r="U57">
        <v>3</v>
      </c>
      <c r="V57">
        <v>40</v>
      </c>
      <c r="W57" t="s">
        <v>14</v>
      </c>
      <c r="X57">
        <v>91</v>
      </c>
    </row>
    <row r="58" spans="1:24" ht="15">
      <c r="A58">
        <v>51</v>
      </c>
      <c r="B58">
        <v>18752</v>
      </c>
      <c r="C58" t="s">
        <v>193</v>
      </c>
      <c r="D58" t="s">
        <v>12</v>
      </c>
      <c r="E58" t="s">
        <v>194</v>
      </c>
      <c r="F58" t="str">
        <f>"00256999"</f>
        <v>00256999</v>
      </c>
      <c r="G58">
        <v>18.95</v>
      </c>
      <c r="H58">
        <v>0</v>
      </c>
      <c r="I58">
        <v>40</v>
      </c>
      <c r="J58">
        <v>20</v>
      </c>
      <c r="K58">
        <v>20</v>
      </c>
      <c r="M58">
        <v>5</v>
      </c>
      <c r="N58">
        <v>3</v>
      </c>
      <c r="O58">
        <v>8</v>
      </c>
      <c r="P58">
        <v>4</v>
      </c>
      <c r="Q58">
        <v>0</v>
      </c>
      <c r="R58">
        <v>90.95</v>
      </c>
      <c r="S58">
        <v>0</v>
      </c>
      <c r="T58">
        <v>0</v>
      </c>
      <c r="U58">
        <v>0</v>
      </c>
      <c r="V58">
        <v>0</v>
      </c>
      <c r="W58" t="s">
        <v>14</v>
      </c>
      <c r="X58">
        <v>90.95</v>
      </c>
    </row>
    <row r="59" spans="1:24" ht="15">
      <c r="A59">
        <v>52</v>
      </c>
      <c r="B59">
        <v>28664</v>
      </c>
      <c r="C59" t="s">
        <v>198</v>
      </c>
      <c r="D59" t="s">
        <v>199</v>
      </c>
      <c r="E59" t="s">
        <v>12</v>
      </c>
      <c r="F59" t="str">
        <f>"00622225"</f>
        <v>00622225</v>
      </c>
      <c r="G59">
        <v>20.2</v>
      </c>
      <c r="H59">
        <v>0</v>
      </c>
      <c r="I59">
        <v>0</v>
      </c>
      <c r="J59">
        <v>28</v>
      </c>
      <c r="K59">
        <v>28</v>
      </c>
      <c r="N59">
        <v>3</v>
      </c>
      <c r="O59">
        <v>3</v>
      </c>
      <c r="P59">
        <v>4</v>
      </c>
      <c r="Q59">
        <v>0</v>
      </c>
      <c r="R59">
        <v>55.2</v>
      </c>
      <c r="S59">
        <v>0</v>
      </c>
      <c r="T59">
        <v>0</v>
      </c>
      <c r="U59">
        <v>3</v>
      </c>
      <c r="V59">
        <v>32</v>
      </c>
      <c r="W59" t="s">
        <v>14</v>
      </c>
      <c r="X59">
        <v>90.2</v>
      </c>
    </row>
    <row r="60" spans="1:24" ht="15">
      <c r="A60">
        <v>53</v>
      </c>
      <c r="B60">
        <v>39130</v>
      </c>
      <c r="C60" t="s">
        <v>202</v>
      </c>
      <c r="D60" t="s">
        <v>203</v>
      </c>
      <c r="E60" t="s">
        <v>204</v>
      </c>
      <c r="F60" t="str">
        <f>"00564649"</f>
        <v>00564649</v>
      </c>
      <c r="G60">
        <v>18.2</v>
      </c>
      <c r="H60">
        <v>0</v>
      </c>
      <c r="I60">
        <v>0</v>
      </c>
      <c r="J60">
        <v>28</v>
      </c>
      <c r="K60">
        <v>28</v>
      </c>
      <c r="N60">
        <v>6</v>
      </c>
      <c r="O60">
        <v>6</v>
      </c>
      <c r="P60">
        <v>4</v>
      </c>
      <c r="Q60">
        <v>0</v>
      </c>
      <c r="R60">
        <v>56.2</v>
      </c>
      <c r="S60">
        <v>33</v>
      </c>
      <c r="T60">
        <v>33</v>
      </c>
      <c r="U60">
        <v>0</v>
      </c>
      <c r="V60">
        <v>0</v>
      </c>
      <c r="W60" t="s">
        <v>14</v>
      </c>
      <c r="X60">
        <v>89.2</v>
      </c>
    </row>
    <row r="61" spans="1:24" ht="15">
      <c r="A61">
        <v>54</v>
      </c>
      <c r="B61">
        <v>26484</v>
      </c>
      <c r="C61" t="s">
        <v>206</v>
      </c>
      <c r="D61" t="s">
        <v>207</v>
      </c>
      <c r="E61" t="s">
        <v>208</v>
      </c>
      <c r="F61" t="str">
        <f>"00030453"</f>
        <v>00030453</v>
      </c>
      <c r="G61">
        <v>15.5</v>
      </c>
      <c r="H61">
        <v>0</v>
      </c>
      <c r="I61">
        <v>0</v>
      </c>
      <c r="J61">
        <v>20</v>
      </c>
      <c r="K61">
        <v>20</v>
      </c>
      <c r="N61">
        <v>3</v>
      </c>
      <c r="O61">
        <v>3</v>
      </c>
      <c r="P61">
        <v>4</v>
      </c>
      <c r="Q61">
        <v>0</v>
      </c>
      <c r="R61">
        <v>42.5</v>
      </c>
      <c r="S61">
        <v>0</v>
      </c>
      <c r="T61">
        <v>0</v>
      </c>
      <c r="U61">
        <v>6</v>
      </c>
      <c r="V61">
        <v>40</v>
      </c>
      <c r="W61" t="s">
        <v>14</v>
      </c>
      <c r="X61">
        <v>88.5</v>
      </c>
    </row>
    <row r="62" spans="1:24" ht="15">
      <c r="A62">
        <v>55</v>
      </c>
      <c r="B62">
        <v>13925</v>
      </c>
      <c r="C62" t="s">
        <v>209</v>
      </c>
      <c r="D62" t="s">
        <v>75</v>
      </c>
      <c r="E62" t="s">
        <v>17</v>
      </c>
      <c r="F62" t="str">
        <f>"00253517"</f>
        <v>00253517</v>
      </c>
      <c r="G62">
        <v>19.08</v>
      </c>
      <c r="H62">
        <v>0</v>
      </c>
      <c r="I62">
        <v>0</v>
      </c>
      <c r="J62">
        <v>20</v>
      </c>
      <c r="K62">
        <v>20</v>
      </c>
      <c r="N62">
        <v>3</v>
      </c>
      <c r="O62">
        <v>3</v>
      </c>
      <c r="P62">
        <v>4</v>
      </c>
      <c r="Q62">
        <v>2</v>
      </c>
      <c r="R62">
        <v>48.08</v>
      </c>
      <c r="S62">
        <v>11</v>
      </c>
      <c r="T62">
        <v>11</v>
      </c>
      <c r="U62">
        <v>9</v>
      </c>
      <c r="V62">
        <v>20</v>
      </c>
      <c r="W62" t="s">
        <v>14</v>
      </c>
      <c r="X62">
        <v>88.08</v>
      </c>
    </row>
    <row r="63" spans="1:24" ht="15">
      <c r="A63">
        <v>56</v>
      </c>
      <c r="B63">
        <v>105779</v>
      </c>
      <c r="C63" t="s">
        <v>217</v>
      </c>
      <c r="D63" t="s">
        <v>218</v>
      </c>
      <c r="E63" t="s">
        <v>219</v>
      </c>
      <c r="F63" t="str">
        <f>"00577031"</f>
        <v>00577031</v>
      </c>
      <c r="G63">
        <v>18.25</v>
      </c>
      <c r="H63">
        <v>0</v>
      </c>
      <c r="I63">
        <v>0</v>
      </c>
      <c r="J63">
        <v>20</v>
      </c>
      <c r="K63">
        <v>20</v>
      </c>
      <c r="L63">
        <v>7</v>
      </c>
      <c r="O63">
        <v>7</v>
      </c>
      <c r="P63">
        <v>4</v>
      </c>
      <c r="Q63">
        <v>2</v>
      </c>
      <c r="R63">
        <v>51.25</v>
      </c>
      <c r="S63">
        <v>28</v>
      </c>
      <c r="T63">
        <v>28</v>
      </c>
      <c r="U63">
        <v>6</v>
      </c>
      <c r="V63">
        <v>0</v>
      </c>
      <c r="W63" t="s">
        <v>14</v>
      </c>
      <c r="X63">
        <v>85.25</v>
      </c>
    </row>
    <row r="64" spans="1:24" ht="15">
      <c r="A64">
        <v>57</v>
      </c>
      <c r="B64">
        <v>100305</v>
      </c>
      <c r="C64" t="s">
        <v>226</v>
      </c>
      <c r="D64" t="s">
        <v>227</v>
      </c>
      <c r="E64" t="s">
        <v>30</v>
      </c>
      <c r="F64" t="str">
        <f>"200807000869"</f>
        <v>200807000869</v>
      </c>
      <c r="G64">
        <v>15.5</v>
      </c>
      <c r="H64">
        <v>0</v>
      </c>
      <c r="I64">
        <v>0</v>
      </c>
      <c r="J64">
        <v>28</v>
      </c>
      <c r="K64">
        <v>28</v>
      </c>
      <c r="N64">
        <v>3</v>
      </c>
      <c r="O64">
        <v>3</v>
      </c>
      <c r="P64">
        <v>4</v>
      </c>
      <c r="Q64">
        <v>0</v>
      </c>
      <c r="R64">
        <v>50.5</v>
      </c>
      <c r="S64">
        <v>0</v>
      </c>
      <c r="T64">
        <v>0</v>
      </c>
      <c r="U64">
        <v>6</v>
      </c>
      <c r="V64">
        <v>26.8</v>
      </c>
      <c r="W64" t="s">
        <v>14</v>
      </c>
      <c r="X64">
        <v>83.3</v>
      </c>
    </row>
    <row r="65" spans="1:24" ht="15">
      <c r="A65">
        <v>58</v>
      </c>
      <c r="B65">
        <v>9649</v>
      </c>
      <c r="C65" t="s">
        <v>229</v>
      </c>
      <c r="D65" t="s">
        <v>97</v>
      </c>
      <c r="E65" t="s">
        <v>17</v>
      </c>
      <c r="F65" t="str">
        <f>"200802006920"</f>
        <v>200802006920</v>
      </c>
      <c r="G65">
        <v>16.75</v>
      </c>
      <c r="H65">
        <v>0</v>
      </c>
      <c r="I65">
        <v>0</v>
      </c>
      <c r="J65">
        <v>20</v>
      </c>
      <c r="K65">
        <v>20</v>
      </c>
      <c r="L65">
        <v>7</v>
      </c>
      <c r="O65">
        <v>7</v>
      </c>
      <c r="P65">
        <v>4</v>
      </c>
      <c r="Q65">
        <v>0</v>
      </c>
      <c r="R65">
        <v>47.75</v>
      </c>
      <c r="S65">
        <v>0</v>
      </c>
      <c r="T65">
        <v>0</v>
      </c>
      <c r="U65">
        <v>3</v>
      </c>
      <c r="V65">
        <v>32</v>
      </c>
      <c r="W65" t="s">
        <v>14</v>
      </c>
      <c r="X65">
        <v>82.75</v>
      </c>
    </row>
    <row r="66" spans="1:24" ht="15">
      <c r="A66">
        <v>59</v>
      </c>
      <c r="B66">
        <v>25905</v>
      </c>
      <c r="C66" t="s">
        <v>230</v>
      </c>
      <c r="D66" t="s">
        <v>231</v>
      </c>
      <c r="E66" t="s">
        <v>109</v>
      </c>
      <c r="F66" t="str">
        <f>"00593107"</f>
        <v>00593107</v>
      </c>
      <c r="G66">
        <v>17.55</v>
      </c>
      <c r="H66">
        <v>0</v>
      </c>
      <c r="I66">
        <v>0</v>
      </c>
      <c r="J66">
        <v>20</v>
      </c>
      <c r="K66">
        <v>20</v>
      </c>
      <c r="O66">
        <v>0</v>
      </c>
      <c r="P66">
        <v>4</v>
      </c>
      <c r="Q66">
        <v>0</v>
      </c>
      <c r="R66">
        <v>41.55</v>
      </c>
      <c r="S66">
        <v>41</v>
      </c>
      <c r="T66">
        <v>41</v>
      </c>
      <c r="U66">
        <v>0</v>
      </c>
      <c r="V66">
        <v>0</v>
      </c>
      <c r="W66" t="s">
        <v>14</v>
      </c>
      <c r="X66">
        <v>82.55</v>
      </c>
    </row>
    <row r="67" spans="1:24" ht="15">
      <c r="A67">
        <v>60</v>
      </c>
      <c r="B67">
        <v>40398</v>
      </c>
      <c r="C67" t="s">
        <v>232</v>
      </c>
      <c r="D67" t="s">
        <v>46</v>
      </c>
      <c r="E67" t="s">
        <v>91</v>
      </c>
      <c r="F67" t="str">
        <f>"200801008151"</f>
        <v>200801008151</v>
      </c>
      <c r="G67">
        <v>15.45</v>
      </c>
      <c r="H67">
        <v>0</v>
      </c>
      <c r="I67">
        <v>0</v>
      </c>
      <c r="J67">
        <v>20</v>
      </c>
      <c r="K67">
        <v>20</v>
      </c>
      <c r="L67">
        <v>7</v>
      </c>
      <c r="O67">
        <v>7</v>
      </c>
      <c r="P67">
        <v>4</v>
      </c>
      <c r="Q67">
        <v>0</v>
      </c>
      <c r="R67">
        <v>46.45</v>
      </c>
      <c r="S67">
        <v>27</v>
      </c>
      <c r="T67">
        <v>27</v>
      </c>
      <c r="U67">
        <v>9</v>
      </c>
      <c r="V67">
        <v>0</v>
      </c>
      <c r="W67" t="s">
        <v>14</v>
      </c>
      <c r="X67">
        <v>82.45</v>
      </c>
    </row>
    <row r="68" spans="1:24" ht="15">
      <c r="A68">
        <v>61</v>
      </c>
      <c r="B68">
        <v>16350</v>
      </c>
      <c r="C68" t="s">
        <v>233</v>
      </c>
      <c r="D68" t="s">
        <v>234</v>
      </c>
      <c r="E68" t="s">
        <v>27</v>
      </c>
      <c r="F68" t="str">
        <f>"00599973"</f>
        <v>00599973</v>
      </c>
      <c r="G68">
        <v>18.63</v>
      </c>
      <c r="H68">
        <v>0</v>
      </c>
      <c r="I68">
        <v>0</v>
      </c>
      <c r="J68">
        <v>20</v>
      </c>
      <c r="K68">
        <v>20</v>
      </c>
      <c r="M68">
        <v>5</v>
      </c>
      <c r="O68">
        <v>5</v>
      </c>
      <c r="P68">
        <v>4</v>
      </c>
      <c r="Q68">
        <v>2</v>
      </c>
      <c r="R68">
        <v>49.63</v>
      </c>
      <c r="S68">
        <v>0</v>
      </c>
      <c r="T68">
        <v>0</v>
      </c>
      <c r="U68">
        <v>6</v>
      </c>
      <c r="V68">
        <v>26.8</v>
      </c>
      <c r="W68" t="s">
        <v>14</v>
      </c>
      <c r="X68">
        <v>82.43</v>
      </c>
    </row>
    <row r="69" spans="1:24" ht="15">
      <c r="A69">
        <v>62</v>
      </c>
      <c r="B69">
        <v>23388</v>
      </c>
      <c r="C69" t="s">
        <v>239</v>
      </c>
      <c r="D69" t="s">
        <v>240</v>
      </c>
      <c r="E69" t="s">
        <v>135</v>
      </c>
      <c r="F69" t="str">
        <f>"00587778"</f>
        <v>00587778</v>
      </c>
      <c r="G69">
        <v>17.3</v>
      </c>
      <c r="H69">
        <v>0</v>
      </c>
      <c r="I69">
        <v>0</v>
      </c>
      <c r="J69">
        <v>0</v>
      </c>
      <c r="K69">
        <v>0</v>
      </c>
      <c r="O69">
        <v>0</v>
      </c>
      <c r="P69">
        <v>4</v>
      </c>
      <c r="Q69">
        <v>0</v>
      </c>
      <c r="R69">
        <v>21.3</v>
      </c>
      <c r="S69">
        <v>59</v>
      </c>
      <c r="T69">
        <v>59</v>
      </c>
      <c r="U69">
        <v>0</v>
      </c>
      <c r="V69">
        <v>0</v>
      </c>
      <c r="W69" t="s">
        <v>14</v>
      </c>
      <c r="X69">
        <v>80.3</v>
      </c>
    </row>
    <row r="70" spans="1:24" ht="15">
      <c r="A70">
        <v>63</v>
      </c>
      <c r="B70">
        <v>39735</v>
      </c>
      <c r="C70" t="s">
        <v>241</v>
      </c>
      <c r="D70" t="s">
        <v>75</v>
      </c>
      <c r="E70" t="s">
        <v>194</v>
      </c>
      <c r="F70" t="str">
        <f>"00120804"</f>
        <v>00120804</v>
      </c>
      <c r="G70">
        <v>15.05</v>
      </c>
      <c r="H70">
        <v>7</v>
      </c>
      <c r="I70">
        <v>0</v>
      </c>
      <c r="J70">
        <v>20</v>
      </c>
      <c r="K70">
        <v>20</v>
      </c>
      <c r="O70">
        <v>0</v>
      </c>
      <c r="P70">
        <v>4</v>
      </c>
      <c r="Q70">
        <v>2</v>
      </c>
      <c r="R70">
        <v>48.05</v>
      </c>
      <c r="S70">
        <v>0</v>
      </c>
      <c r="T70">
        <v>0</v>
      </c>
      <c r="U70">
        <v>3</v>
      </c>
      <c r="V70">
        <v>29.2</v>
      </c>
      <c r="W70" t="s">
        <v>14</v>
      </c>
      <c r="X70">
        <v>80.25</v>
      </c>
    </row>
    <row r="71" spans="1:24" ht="15">
      <c r="A71">
        <v>64</v>
      </c>
      <c r="B71">
        <v>75615</v>
      </c>
      <c r="C71" t="s">
        <v>244</v>
      </c>
      <c r="D71" t="s">
        <v>27</v>
      </c>
      <c r="E71" t="s">
        <v>39</v>
      </c>
      <c r="F71" t="str">
        <f>"00611676"</f>
        <v>00611676</v>
      </c>
      <c r="G71">
        <v>17.43</v>
      </c>
      <c r="H71">
        <v>0</v>
      </c>
      <c r="I71">
        <v>40</v>
      </c>
      <c r="J71">
        <v>0</v>
      </c>
      <c r="K71">
        <v>0</v>
      </c>
      <c r="N71">
        <v>3</v>
      </c>
      <c r="O71">
        <v>3</v>
      </c>
      <c r="P71">
        <v>4</v>
      </c>
      <c r="Q71">
        <v>0</v>
      </c>
      <c r="R71">
        <v>64.43</v>
      </c>
      <c r="S71">
        <v>9</v>
      </c>
      <c r="T71">
        <v>9</v>
      </c>
      <c r="U71">
        <v>6</v>
      </c>
      <c r="V71">
        <v>0</v>
      </c>
      <c r="W71" t="s">
        <v>14</v>
      </c>
      <c r="X71">
        <v>79.43</v>
      </c>
    </row>
    <row r="72" spans="1:24" ht="15">
      <c r="A72">
        <v>65</v>
      </c>
      <c r="B72">
        <v>23141</v>
      </c>
      <c r="C72" t="s">
        <v>248</v>
      </c>
      <c r="D72" t="s">
        <v>27</v>
      </c>
      <c r="E72" t="s">
        <v>23</v>
      </c>
      <c r="F72" t="str">
        <f>"201401000381"</f>
        <v>201401000381</v>
      </c>
      <c r="G72">
        <v>19.85</v>
      </c>
      <c r="H72">
        <v>7</v>
      </c>
      <c r="I72">
        <v>0</v>
      </c>
      <c r="J72">
        <v>28</v>
      </c>
      <c r="K72">
        <v>28</v>
      </c>
      <c r="L72">
        <v>7</v>
      </c>
      <c r="M72">
        <v>5</v>
      </c>
      <c r="O72">
        <v>12</v>
      </c>
      <c r="P72">
        <v>4</v>
      </c>
      <c r="Q72">
        <v>2</v>
      </c>
      <c r="R72">
        <v>72.85</v>
      </c>
      <c r="S72">
        <v>0</v>
      </c>
      <c r="T72">
        <v>0</v>
      </c>
      <c r="U72">
        <v>6</v>
      </c>
      <c r="V72">
        <v>0</v>
      </c>
      <c r="W72" t="s">
        <v>14</v>
      </c>
      <c r="X72">
        <v>78.85</v>
      </c>
    </row>
    <row r="73" spans="1:24" ht="15">
      <c r="A73">
        <v>66</v>
      </c>
      <c r="B73">
        <v>95612</v>
      </c>
      <c r="C73" t="s">
        <v>251</v>
      </c>
      <c r="D73" t="s">
        <v>252</v>
      </c>
      <c r="E73" t="s">
        <v>44</v>
      </c>
      <c r="F73" t="str">
        <f>"00564402"</f>
        <v>00564402</v>
      </c>
      <c r="G73">
        <v>22.13</v>
      </c>
      <c r="H73">
        <v>0</v>
      </c>
      <c r="I73">
        <v>0</v>
      </c>
      <c r="J73">
        <v>28</v>
      </c>
      <c r="K73">
        <v>28</v>
      </c>
      <c r="L73">
        <v>7</v>
      </c>
      <c r="O73">
        <v>7</v>
      </c>
      <c r="P73">
        <v>4</v>
      </c>
      <c r="Q73">
        <v>0</v>
      </c>
      <c r="R73">
        <v>61.13</v>
      </c>
      <c r="S73">
        <v>14</v>
      </c>
      <c r="T73">
        <v>14</v>
      </c>
      <c r="U73">
        <v>3</v>
      </c>
      <c r="V73">
        <v>0</v>
      </c>
      <c r="W73" t="s">
        <v>14</v>
      </c>
      <c r="X73">
        <v>78.13</v>
      </c>
    </row>
    <row r="74" spans="1:24" ht="15">
      <c r="A74">
        <v>67</v>
      </c>
      <c r="B74">
        <v>73755</v>
      </c>
      <c r="C74" t="s">
        <v>191</v>
      </c>
      <c r="D74" t="s">
        <v>253</v>
      </c>
      <c r="E74" t="s">
        <v>254</v>
      </c>
      <c r="F74" t="str">
        <f>"00432866"</f>
        <v>00432866</v>
      </c>
      <c r="G74">
        <v>16.63</v>
      </c>
      <c r="H74">
        <v>0</v>
      </c>
      <c r="I74">
        <v>0</v>
      </c>
      <c r="J74">
        <v>0</v>
      </c>
      <c r="K74">
        <v>0</v>
      </c>
      <c r="N74">
        <v>3</v>
      </c>
      <c r="O74">
        <v>3</v>
      </c>
      <c r="P74">
        <v>4</v>
      </c>
      <c r="Q74">
        <v>2</v>
      </c>
      <c r="R74">
        <v>25.63</v>
      </c>
      <c r="S74">
        <v>52</v>
      </c>
      <c r="T74">
        <v>52</v>
      </c>
      <c r="U74">
        <v>0</v>
      </c>
      <c r="V74">
        <v>0</v>
      </c>
      <c r="W74" t="s">
        <v>14</v>
      </c>
      <c r="X74">
        <v>77.63</v>
      </c>
    </row>
    <row r="75" spans="1:24" ht="15">
      <c r="A75">
        <v>68</v>
      </c>
      <c r="B75">
        <v>84295</v>
      </c>
      <c r="C75" t="s">
        <v>255</v>
      </c>
      <c r="D75" t="s">
        <v>41</v>
      </c>
      <c r="E75" t="s">
        <v>21</v>
      </c>
      <c r="F75" t="str">
        <f>"200801010331"</f>
        <v>200801010331</v>
      </c>
      <c r="G75">
        <v>21.43</v>
      </c>
      <c r="H75">
        <v>0</v>
      </c>
      <c r="I75">
        <v>0</v>
      </c>
      <c r="J75">
        <v>28</v>
      </c>
      <c r="K75">
        <v>28</v>
      </c>
      <c r="L75">
        <v>7</v>
      </c>
      <c r="N75">
        <v>3</v>
      </c>
      <c r="O75">
        <v>10</v>
      </c>
      <c r="P75">
        <v>4</v>
      </c>
      <c r="Q75">
        <v>2</v>
      </c>
      <c r="R75">
        <v>65.43</v>
      </c>
      <c r="S75">
        <v>0</v>
      </c>
      <c r="T75">
        <v>0</v>
      </c>
      <c r="U75">
        <v>12</v>
      </c>
      <c r="V75">
        <v>0</v>
      </c>
      <c r="W75" t="s">
        <v>14</v>
      </c>
      <c r="X75">
        <v>77.43</v>
      </c>
    </row>
    <row r="76" spans="1:24" ht="15">
      <c r="A76">
        <v>69</v>
      </c>
      <c r="B76">
        <v>36133</v>
      </c>
      <c r="C76" t="s">
        <v>256</v>
      </c>
      <c r="D76" t="s">
        <v>75</v>
      </c>
      <c r="E76" t="s">
        <v>17</v>
      </c>
      <c r="F76" t="str">
        <f>"00452031"</f>
        <v>00452031</v>
      </c>
      <c r="G76">
        <v>19.4</v>
      </c>
      <c r="H76">
        <v>0</v>
      </c>
      <c r="I76">
        <v>0</v>
      </c>
      <c r="J76">
        <v>20</v>
      </c>
      <c r="K76">
        <v>20</v>
      </c>
      <c r="L76">
        <v>7</v>
      </c>
      <c r="O76">
        <v>7</v>
      </c>
      <c r="P76">
        <v>4</v>
      </c>
      <c r="Q76">
        <v>0</v>
      </c>
      <c r="R76">
        <v>50.4</v>
      </c>
      <c r="S76">
        <v>0</v>
      </c>
      <c r="T76">
        <v>0</v>
      </c>
      <c r="U76">
        <v>0</v>
      </c>
      <c r="V76">
        <v>26.8</v>
      </c>
      <c r="W76" t="s">
        <v>14</v>
      </c>
      <c r="X76">
        <v>77.2</v>
      </c>
    </row>
    <row r="77" spans="1:24" ht="15">
      <c r="A77">
        <v>70</v>
      </c>
      <c r="B77">
        <v>97441</v>
      </c>
      <c r="C77" t="s">
        <v>261</v>
      </c>
      <c r="D77" t="s">
        <v>90</v>
      </c>
      <c r="E77" t="s">
        <v>12</v>
      </c>
      <c r="F77" t="str">
        <f>"00595166"</f>
        <v>00595166</v>
      </c>
      <c r="G77">
        <v>16.75</v>
      </c>
      <c r="H77">
        <v>7</v>
      </c>
      <c r="I77">
        <v>0</v>
      </c>
      <c r="J77">
        <v>20</v>
      </c>
      <c r="K77">
        <v>20</v>
      </c>
      <c r="L77">
        <v>7</v>
      </c>
      <c r="N77">
        <v>3</v>
      </c>
      <c r="O77">
        <v>10</v>
      </c>
      <c r="P77">
        <v>4</v>
      </c>
      <c r="Q77">
        <v>2</v>
      </c>
      <c r="R77">
        <v>59.75</v>
      </c>
      <c r="S77">
        <v>17</v>
      </c>
      <c r="T77">
        <v>17</v>
      </c>
      <c r="U77">
        <v>0</v>
      </c>
      <c r="V77">
        <v>0</v>
      </c>
      <c r="W77" t="s">
        <v>14</v>
      </c>
      <c r="X77">
        <v>76.75</v>
      </c>
    </row>
    <row r="78" spans="1:24" ht="15">
      <c r="A78">
        <v>71</v>
      </c>
      <c r="B78">
        <v>39964</v>
      </c>
      <c r="C78" t="s">
        <v>262</v>
      </c>
      <c r="D78" t="s">
        <v>29</v>
      </c>
      <c r="E78" t="s">
        <v>27</v>
      </c>
      <c r="F78" t="str">
        <f>"00151329"</f>
        <v>00151329</v>
      </c>
      <c r="G78">
        <v>20.28</v>
      </c>
      <c r="H78">
        <v>0</v>
      </c>
      <c r="I78">
        <v>0</v>
      </c>
      <c r="J78">
        <v>28</v>
      </c>
      <c r="K78">
        <v>28</v>
      </c>
      <c r="M78">
        <v>5</v>
      </c>
      <c r="N78">
        <v>3</v>
      </c>
      <c r="O78">
        <v>8</v>
      </c>
      <c r="P78">
        <v>4</v>
      </c>
      <c r="Q78">
        <v>0</v>
      </c>
      <c r="R78">
        <v>60.28</v>
      </c>
      <c r="S78">
        <v>10</v>
      </c>
      <c r="T78">
        <v>10</v>
      </c>
      <c r="U78">
        <v>6</v>
      </c>
      <c r="V78">
        <v>0</v>
      </c>
      <c r="W78" t="s">
        <v>14</v>
      </c>
      <c r="X78">
        <v>76.28</v>
      </c>
    </row>
    <row r="79" spans="1:24" ht="15">
      <c r="A79">
        <v>72</v>
      </c>
      <c r="B79">
        <v>95806</v>
      </c>
      <c r="C79" t="s">
        <v>263</v>
      </c>
      <c r="D79" t="s">
        <v>29</v>
      </c>
      <c r="E79" t="s">
        <v>27</v>
      </c>
      <c r="F79" t="str">
        <f>"00641195"</f>
        <v>00641195</v>
      </c>
      <c r="G79">
        <v>17.85</v>
      </c>
      <c r="H79">
        <v>0</v>
      </c>
      <c r="I79">
        <v>0</v>
      </c>
      <c r="J79">
        <v>28</v>
      </c>
      <c r="K79">
        <v>28</v>
      </c>
      <c r="M79">
        <v>5</v>
      </c>
      <c r="O79">
        <v>5</v>
      </c>
      <c r="P79">
        <v>4</v>
      </c>
      <c r="Q79">
        <v>0</v>
      </c>
      <c r="R79">
        <v>54.85</v>
      </c>
      <c r="S79">
        <v>15</v>
      </c>
      <c r="T79">
        <v>15</v>
      </c>
      <c r="U79">
        <v>6</v>
      </c>
      <c r="V79">
        <v>0</v>
      </c>
      <c r="W79" t="s">
        <v>14</v>
      </c>
      <c r="X79">
        <v>75.85</v>
      </c>
    </row>
    <row r="80" spans="1:24" ht="15">
      <c r="A80">
        <v>73</v>
      </c>
      <c r="B80">
        <v>114796</v>
      </c>
      <c r="C80" t="s">
        <v>267</v>
      </c>
      <c r="D80" t="s">
        <v>268</v>
      </c>
      <c r="E80" t="s">
        <v>30</v>
      </c>
      <c r="F80" t="str">
        <f>"00459887"</f>
        <v>00459887</v>
      </c>
      <c r="G80">
        <v>17.5</v>
      </c>
      <c r="H80">
        <v>0</v>
      </c>
      <c r="I80">
        <v>0</v>
      </c>
      <c r="J80">
        <v>28</v>
      </c>
      <c r="K80">
        <v>28</v>
      </c>
      <c r="O80">
        <v>0</v>
      </c>
      <c r="P80">
        <v>4</v>
      </c>
      <c r="Q80">
        <v>0</v>
      </c>
      <c r="R80">
        <v>49.5</v>
      </c>
      <c r="S80">
        <v>0</v>
      </c>
      <c r="T80">
        <v>0</v>
      </c>
      <c r="U80">
        <v>6</v>
      </c>
      <c r="V80">
        <v>20</v>
      </c>
      <c r="W80" t="s">
        <v>14</v>
      </c>
      <c r="X80">
        <v>75.5</v>
      </c>
    </row>
    <row r="81" spans="1:24" ht="15">
      <c r="A81">
        <v>74</v>
      </c>
      <c r="B81">
        <v>17142</v>
      </c>
      <c r="C81" t="s">
        <v>269</v>
      </c>
      <c r="D81" t="s">
        <v>201</v>
      </c>
      <c r="E81" t="s">
        <v>270</v>
      </c>
      <c r="F81" t="str">
        <f>"200802006977"</f>
        <v>200802006977</v>
      </c>
      <c r="G81">
        <v>17.78</v>
      </c>
      <c r="H81">
        <v>7</v>
      </c>
      <c r="I81">
        <v>0</v>
      </c>
      <c r="J81">
        <v>28</v>
      </c>
      <c r="K81">
        <v>28</v>
      </c>
      <c r="L81">
        <v>7</v>
      </c>
      <c r="O81">
        <v>7</v>
      </c>
      <c r="P81">
        <v>4</v>
      </c>
      <c r="Q81">
        <v>2</v>
      </c>
      <c r="R81">
        <v>65.78</v>
      </c>
      <c r="S81">
        <v>9</v>
      </c>
      <c r="T81">
        <v>9</v>
      </c>
      <c r="U81">
        <v>0</v>
      </c>
      <c r="V81">
        <v>0</v>
      </c>
      <c r="W81" t="s">
        <v>14</v>
      </c>
      <c r="X81">
        <v>74.78</v>
      </c>
    </row>
    <row r="82" spans="1:24" ht="15">
      <c r="A82">
        <v>75</v>
      </c>
      <c r="B82">
        <v>27643</v>
      </c>
      <c r="C82" t="s">
        <v>272</v>
      </c>
      <c r="D82" t="s">
        <v>153</v>
      </c>
      <c r="E82" t="s">
        <v>273</v>
      </c>
      <c r="F82" t="str">
        <f>"00529632"</f>
        <v>00529632</v>
      </c>
      <c r="G82">
        <v>17.48</v>
      </c>
      <c r="H82">
        <v>7</v>
      </c>
      <c r="I82">
        <v>0</v>
      </c>
      <c r="J82">
        <v>0</v>
      </c>
      <c r="K82">
        <v>0</v>
      </c>
      <c r="N82">
        <v>3</v>
      </c>
      <c r="O82">
        <v>3</v>
      </c>
      <c r="P82">
        <v>4</v>
      </c>
      <c r="Q82">
        <v>2</v>
      </c>
      <c r="R82">
        <v>33.48</v>
      </c>
      <c r="S82">
        <v>11</v>
      </c>
      <c r="T82">
        <v>11</v>
      </c>
      <c r="U82">
        <v>0</v>
      </c>
      <c r="V82">
        <v>30</v>
      </c>
      <c r="W82" t="s">
        <v>14</v>
      </c>
      <c r="X82">
        <v>74.48</v>
      </c>
    </row>
    <row r="83" spans="1:24" ht="15">
      <c r="A83">
        <v>76</v>
      </c>
      <c r="B83">
        <v>55104</v>
      </c>
      <c r="C83" t="s">
        <v>275</v>
      </c>
      <c r="D83" t="s">
        <v>258</v>
      </c>
      <c r="E83" t="s">
        <v>276</v>
      </c>
      <c r="F83" t="str">
        <f>"201406011830"</f>
        <v>201406011830</v>
      </c>
      <c r="G83">
        <v>21.68</v>
      </c>
      <c r="H83">
        <v>0</v>
      </c>
      <c r="I83">
        <v>0</v>
      </c>
      <c r="J83">
        <v>28</v>
      </c>
      <c r="K83">
        <v>28</v>
      </c>
      <c r="L83">
        <v>14</v>
      </c>
      <c r="O83">
        <v>14</v>
      </c>
      <c r="P83">
        <v>4</v>
      </c>
      <c r="Q83">
        <v>0</v>
      </c>
      <c r="R83">
        <v>67.68</v>
      </c>
      <c r="S83">
        <v>0</v>
      </c>
      <c r="T83">
        <v>0</v>
      </c>
      <c r="U83">
        <v>6</v>
      </c>
      <c r="V83">
        <v>0</v>
      </c>
      <c r="W83" t="s">
        <v>14</v>
      </c>
      <c r="X83">
        <v>73.68</v>
      </c>
    </row>
    <row r="84" spans="1:24" ht="15">
      <c r="A84">
        <v>77</v>
      </c>
      <c r="B84">
        <v>108036</v>
      </c>
      <c r="C84" t="s">
        <v>277</v>
      </c>
      <c r="D84" t="s">
        <v>278</v>
      </c>
      <c r="E84" t="s">
        <v>60</v>
      </c>
      <c r="F84" t="str">
        <f>"00365390"</f>
        <v>00365390</v>
      </c>
      <c r="G84">
        <v>18.6</v>
      </c>
      <c r="H84">
        <v>0</v>
      </c>
      <c r="I84">
        <v>0</v>
      </c>
      <c r="J84">
        <v>20</v>
      </c>
      <c r="K84">
        <v>20</v>
      </c>
      <c r="L84">
        <v>7</v>
      </c>
      <c r="O84">
        <v>7</v>
      </c>
      <c r="P84">
        <v>4</v>
      </c>
      <c r="Q84">
        <v>0</v>
      </c>
      <c r="R84">
        <v>49.6</v>
      </c>
      <c r="S84">
        <v>24</v>
      </c>
      <c r="T84">
        <v>24</v>
      </c>
      <c r="U84">
        <v>0</v>
      </c>
      <c r="V84">
        <v>0</v>
      </c>
      <c r="W84" t="s">
        <v>14</v>
      </c>
      <c r="X84">
        <v>73.6</v>
      </c>
    </row>
    <row r="85" spans="1:24" ht="15">
      <c r="A85">
        <v>78</v>
      </c>
      <c r="B85">
        <v>23392</v>
      </c>
      <c r="C85" t="s">
        <v>279</v>
      </c>
      <c r="D85" t="s">
        <v>27</v>
      </c>
      <c r="E85" t="s">
        <v>12</v>
      </c>
      <c r="F85" t="str">
        <f>"201504002908"</f>
        <v>201504002908</v>
      </c>
      <c r="G85">
        <v>18.05</v>
      </c>
      <c r="H85">
        <v>7</v>
      </c>
      <c r="I85">
        <v>0</v>
      </c>
      <c r="J85">
        <v>28</v>
      </c>
      <c r="K85">
        <v>28</v>
      </c>
      <c r="L85">
        <v>7</v>
      </c>
      <c r="N85">
        <v>3</v>
      </c>
      <c r="O85">
        <v>10</v>
      </c>
      <c r="P85">
        <v>4</v>
      </c>
      <c r="Q85">
        <v>0</v>
      </c>
      <c r="R85">
        <v>67.05</v>
      </c>
      <c r="S85">
        <v>0</v>
      </c>
      <c r="T85">
        <v>0</v>
      </c>
      <c r="U85">
        <v>6</v>
      </c>
      <c r="V85">
        <v>0</v>
      </c>
      <c r="W85" t="s">
        <v>14</v>
      </c>
      <c r="X85">
        <v>73.05</v>
      </c>
    </row>
    <row r="86" spans="1:24" ht="15">
      <c r="A86">
        <v>79</v>
      </c>
      <c r="B86">
        <v>7306</v>
      </c>
      <c r="C86" t="s">
        <v>280</v>
      </c>
      <c r="D86" t="s">
        <v>281</v>
      </c>
      <c r="E86" t="s">
        <v>282</v>
      </c>
      <c r="F86" t="str">
        <f>"00006512"</f>
        <v>00006512</v>
      </c>
      <c r="G86">
        <v>20</v>
      </c>
      <c r="H86">
        <v>0</v>
      </c>
      <c r="I86">
        <v>40</v>
      </c>
      <c r="J86">
        <v>0</v>
      </c>
      <c r="K86">
        <v>0</v>
      </c>
      <c r="O86">
        <v>0</v>
      </c>
      <c r="P86">
        <v>4</v>
      </c>
      <c r="Q86">
        <v>0</v>
      </c>
      <c r="R86">
        <v>64</v>
      </c>
      <c r="S86">
        <v>0</v>
      </c>
      <c r="T86">
        <v>0</v>
      </c>
      <c r="U86">
        <v>9</v>
      </c>
      <c r="V86">
        <v>0</v>
      </c>
      <c r="W86" t="s">
        <v>14</v>
      </c>
      <c r="X86">
        <v>73</v>
      </c>
    </row>
    <row r="87" spans="1:24" ht="15">
      <c r="A87">
        <v>80</v>
      </c>
      <c r="B87">
        <v>20007</v>
      </c>
      <c r="C87" t="s">
        <v>283</v>
      </c>
      <c r="D87" t="s">
        <v>72</v>
      </c>
      <c r="E87" t="s">
        <v>284</v>
      </c>
      <c r="F87" t="str">
        <f>"201511028233"</f>
        <v>201511028233</v>
      </c>
      <c r="G87">
        <v>17</v>
      </c>
      <c r="H87">
        <v>7</v>
      </c>
      <c r="I87">
        <v>0</v>
      </c>
      <c r="J87">
        <v>0</v>
      </c>
      <c r="K87">
        <v>0</v>
      </c>
      <c r="L87">
        <v>7</v>
      </c>
      <c r="O87">
        <v>7</v>
      </c>
      <c r="P87">
        <v>4</v>
      </c>
      <c r="Q87">
        <v>0</v>
      </c>
      <c r="R87">
        <v>35</v>
      </c>
      <c r="S87">
        <v>32</v>
      </c>
      <c r="T87">
        <v>32</v>
      </c>
      <c r="U87">
        <v>6</v>
      </c>
      <c r="V87">
        <v>0</v>
      </c>
      <c r="W87" t="s">
        <v>14</v>
      </c>
      <c r="X87">
        <v>73</v>
      </c>
    </row>
    <row r="88" spans="1:24" ht="15">
      <c r="A88">
        <v>81</v>
      </c>
      <c r="B88">
        <v>89330</v>
      </c>
      <c r="C88" t="s">
        <v>285</v>
      </c>
      <c r="D88" t="s">
        <v>175</v>
      </c>
      <c r="E88" t="s">
        <v>12</v>
      </c>
      <c r="F88" t="str">
        <f>"201402001828"</f>
        <v>201402001828</v>
      </c>
      <c r="G88">
        <v>18.78</v>
      </c>
      <c r="H88">
        <v>0</v>
      </c>
      <c r="I88">
        <v>0</v>
      </c>
      <c r="J88">
        <v>28</v>
      </c>
      <c r="K88">
        <v>28</v>
      </c>
      <c r="L88">
        <v>14</v>
      </c>
      <c r="O88">
        <v>14</v>
      </c>
      <c r="P88">
        <v>4</v>
      </c>
      <c r="Q88">
        <v>2</v>
      </c>
      <c r="R88">
        <v>66.78</v>
      </c>
      <c r="S88">
        <v>0</v>
      </c>
      <c r="T88">
        <v>0</v>
      </c>
      <c r="U88">
        <v>6</v>
      </c>
      <c r="V88">
        <v>0</v>
      </c>
      <c r="W88" t="s">
        <v>14</v>
      </c>
      <c r="X88">
        <v>72.78</v>
      </c>
    </row>
    <row r="89" spans="1:24" ht="15">
      <c r="A89">
        <v>82</v>
      </c>
      <c r="B89">
        <v>43491</v>
      </c>
      <c r="C89" t="s">
        <v>286</v>
      </c>
      <c r="D89" t="s">
        <v>75</v>
      </c>
      <c r="E89" t="s">
        <v>175</v>
      </c>
      <c r="F89" t="str">
        <f>"201002000177"</f>
        <v>201002000177</v>
      </c>
      <c r="G89">
        <v>22.73</v>
      </c>
      <c r="H89">
        <v>0</v>
      </c>
      <c r="I89">
        <v>0</v>
      </c>
      <c r="J89">
        <v>20</v>
      </c>
      <c r="K89">
        <v>20</v>
      </c>
      <c r="L89">
        <v>14</v>
      </c>
      <c r="O89">
        <v>14</v>
      </c>
      <c r="P89">
        <v>4</v>
      </c>
      <c r="Q89">
        <v>0</v>
      </c>
      <c r="R89">
        <v>60.73</v>
      </c>
      <c r="S89">
        <v>0</v>
      </c>
      <c r="T89">
        <v>0</v>
      </c>
      <c r="U89">
        <v>12</v>
      </c>
      <c r="V89">
        <v>0</v>
      </c>
      <c r="W89" t="s">
        <v>14</v>
      </c>
      <c r="X89">
        <v>72.73</v>
      </c>
    </row>
    <row r="90" spans="1:24" ht="15">
      <c r="A90">
        <v>83</v>
      </c>
      <c r="B90">
        <v>41555</v>
      </c>
      <c r="C90" t="s">
        <v>287</v>
      </c>
      <c r="D90" t="s">
        <v>288</v>
      </c>
      <c r="E90" t="s">
        <v>289</v>
      </c>
      <c r="F90" t="str">
        <f>"200805001419"</f>
        <v>200805001419</v>
      </c>
      <c r="G90">
        <v>17.73</v>
      </c>
      <c r="H90">
        <v>7</v>
      </c>
      <c r="I90">
        <v>0</v>
      </c>
      <c r="J90">
        <v>28</v>
      </c>
      <c r="K90">
        <v>28</v>
      </c>
      <c r="L90">
        <v>7</v>
      </c>
      <c r="O90">
        <v>7</v>
      </c>
      <c r="P90">
        <v>4</v>
      </c>
      <c r="Q90">
        <v>0</v>
      </c>
      <c r="R90">
        <v>63.73</v>
      </c>
      <c r="S90">
        <v>0</v>
      </c>
      <c r="T90">
        <v>0</v>
      </c>
      <c r="U90">
        <v>9</v>
      </c>
      <c r="V90">
        <v>0</v>
      </c>
      <c r="W90" t="s">
        <v>14</v>
      </c>
      <c r="X90">
        <v>72.73</v>
      </c>
    </row>
    <row r="91" spans="1:24" ht="15">
      <c r="A91">
        <v>84</v>
      </c>
      <c r="B91">
        <v>45776</v>
      </c>
      <c r="C91" t="s">
        <v>290</v>
      </c>
      <c r="D91" t="s">
        <v>29</v>
      </c>
      <c r="E91" t="s">
        <v>17</v>
      </c>
      <c r="F91" t="str">
        <f>"00621450"</f>
        <v>00621450</v>
      </c>
      <c r="G91">
        <v>19.68</v>
      </c>
      <c r="H91">
        <v>7</v>
      </c>
      <c r="I91">
        <v>0</v>
      </c>
      <c r="J91">
        <v>28</v>
      </c>
      <c r="K91">
        <v>28</v>
      </c>
      <c r="N91">
        <v>3</v>
      </c>
      <c r="O91">
        <v>3</v>
      </c>
      <c r="P91">
        <v>0</v>
      </c>
      <c r="Q91">
        <v>0</v>
      </c>
      <c r="R91">
        <v>57.68</v>
      </c>
      <c r="S91">
        <v>15</v>
      </c>
      <c r="T91">
        <v>15</v>
      </c>
      <c r="U91">
        <v>0</v>
      </c>
      <c r="V91">
        <v>0</v>
      </c>
      <c r="W91" t="s">
        <v>14</v>
      </c>
      <c r="X91">
        <v>72.68</v>
      </c>
    </row>
    <row r="92" spans="1:24" ht="15">
      <c r="A92">
        <v>85</v>
      </c>
      <c r="B92">
        <v>71996</v>
      </c>
      <c r="C92" t="s">
        <v>293</v>
      </c>
      <c r="D92" t="s">
        <v>60</v>
      </c>
      <c r="E92" t="s">
        <v>17</v>
      </c>
      <c r="F92" t="str">
        <f>"00503826"</f>
        <v>00503826</v>
      </c>
      <c r="G92">
        <v>16.35</v>
      </c>
      <c r="H92">
        <v>0</v>
      </c>
      <c r="I92">
        <v>0</v>
      </c>
      <c r="J92">
        <v>20</v>
      </c>
      <c r="K92">
        <v>20</v>
      </c>
      <c r="L92">
        <v>7</v>
      </c>
      <c r="O92">
        <v>7</v>
      </c>
      <c r="P92">
        <v>4</v>
      </c>
      <c r="Q92">
        <v>0</v>
      </c>
      <c r="R92">
        <v>47.35</v>
      </c>
      <c r="S92">
        <v>5</v>
      </c>
      <c r="T92">
        <v>5</v>
      </c>
      <c r="U92">
        <v>0</v>
      </c>
      <c r="V92">
        <v>20</v>
      </c>
      <c r="W92" t="s">
        <v>14</v>
      </c>
      <c r="X92">
        <v>72.35</v>
      </c>
    </row>
    <row r="93" spans="1:24" ht="15">
      <c r="A93">
        <v>86</v>
      </c>
      <c r="B93">
        <v>107978</v>
      </c>
      <c r="C93" t="s">
        <v>294</v>
      </c>
      <c r="D93" t="s">
        <v>37</v>
      </c>
      <c r="E93" t="s">
        <v>24</v>
      </c>
      <c r="F93" t="str">
        <f>"200807000447"</f>
        <v>200807000447</v>
      </c>
      <c r="G93">
        <v>15.5</v>
      </c>
      <c r="H93">
        <v>7</v>
      </c>
      <c r="I93">
        <v>0</v>
      </c>
      <c r="J93">
        <v>0</v>
      </c>
      <c r="K93">
        <v>0</v>
      </c>
      <c r="N93">
        <v>3</v>
      </c>
      <c r="O93">
        <v>3</v>
      </c>
      <c r="P93">
        <v>4</v>
      </c>
      <c r="Q93">
        <v>2</v>
      </c>
      <c r="R93">
        <v>31.5</v>
      </c>
      <c r="S93">
        <v>1</v>
      </c>
      <c r="T93">
        <v>1</v>
      </c>
      <c r="U93">
        <v>6</v>
      </c>
      <c r="V93">
        <v>33.2</v>
      </c>
      <c r="W93" t="s">
        <v>14</v>
      </c>
      <c r="X93">
        <v>71.7</v>
      </c>
    </row>
    <row r="94" spans="1:24" ht="15">
      <c r="A94">
        <v>87</v>
      </c>
      <c r="B94">
        <v>102083</v>
      </c>
      <c r="C94" t="s">
        <v>295</v>
      </c>
      <c r="D94" t="s">
        <v>296</v>
      </c>
      <c r="E94" t="s">
        <v>297</v>
      </c>
      <c r="F94" t="str">
        <f>"00630384"</f>
        <v>00630384</v>
      </c>
      <c r="G94">
        <v>18.68</v>
      </c>
      <c r="H94">
        <v>0</v>
      </c>
      <c r="I94">
        <v>0</v>
      </c>
      <c r="J94">
        <v>28</v>
      </c>
      <c r="K94">
        <v>28</v>
      </c>
      <c r="L94">
        <v>7</v>
      </c>
      <c r="N94">
        <v>3</v>
      </c>
      <c r="O94">
        <v>10</v>
      </c>
      <c r="P94">
        <v>0</v>
      </c>
      <c r="Q94">
        <v>0</v>
      </c>
      <c r="R94">
        <v>56.68</v>
      </c>
      <c r="S94">
        <v>12</v>
      </c>
      <c r="T94">
        <v>12</v>
      </c>
      <c r="U94">
        <v>3</v>
      </c>
      <c r="V94">
        <v>0</v>
      </c>
      <c r="W94" t="s">
        <v>14</v>
      </c>
      <c r="X94">
        <v>71.68</v>
      </c>
    </row>
    <row r="95" spans="1:24" ht="15">
      <c r="A95">
        <v>88</v>
      </c>
      <c r="B95">
        <v>52385</v>
      </c>
      <c r="C95" t="s">
        <v>298</v>
      </c>
      <c r="D95" t="s">
        <v>299</v>
      </c>
      <c r="E95" t="s">
        <v>215</v>
      </c>
      <c r="F95" t="str">
        <f>"00571407"</f>
        <v>00571407</v>
      </c>
      <c r="G95">
        <v>18.68</v>
      </c>
      <c r="H95">
        <v>7</v>
      </c>
      <c r="I95">
        <v>0</v>
      </c>
      <c r="J95">
        <v>20</v>
      </c>
      <c r="K95">
        <v>20</v>
      </c>
      <c r="L95">
        <v>7</v>
      </c>
      <c r="O95">
        <v>7</v>
      </c>
      <c r="P95">
        <v>4</v>
      </c>
      <c r="Q95">
        <v>0</v>
      </c>
      <c r="R95">
        <v>56.68</v>
      </c>
      <c r="S95">
        <v>12</v>
      </c>
      <c r="T95">
        <v>12</v>
      </c>
      <c r="U95">
        <v>3</v>
      </c>
      <c r="V95">
        <v>0</v>
      </c>
      <c r="W95" t="s">
        <v>14</v>
      </c>
      <c r="X95">
        <v>71.68</v>
      </c>
    </row>
    <row r="96" spans="1:24" ht="15">
      <c r="A96">
        <v>89</v>
      </c>
      <c r="B96">
        <v>51637</v>
      </c>
      <c r="C96" t="s">
        <v>300</v>
      </c>
      <c r="D96" t="s">
        <v>301</v>
      </c>
      <c r="E96" t="s">
        <v>23</v>
      </c>
      <c r="F96" t="str">
        <f>"00600957"</f>
        <v>00600957</v>
      </c>
      <c r="G96">
        <v>21.48</v>
      </c>
      <c r="H96">
        <v>0</v>
      </c>
      <c r="I96">
        <v>0</v>
      </c>
      <c r="J96">
        <v>28</v>
      </c>
      <c r="K96">
        <v>28</v>
      </c>
      <c r="L96">
        <v>7</v>
      </c>
      <c r="M96">
        <v>5</v>
      </c>
      <c r="O96">
        <v>12</v>
      </c>
      <c r="P96">
        <v>4</v>
      </c>
      <c r="Q96">
        <v>0</v>
      </c>
      <c r="R96">
        <v>65.48</v>
      </c>
      <c r="S96">
        <v>0</v>
      </c>
      <c r="T96">
        <v>0</v>
      </c>
      <c r="U96">
        <v>6</v>
      </c>
      <c r="V96">
        <v>0</v>
      </c>
      <c r="W96" t="s">
        <v>14</v>
      </c>
      <c r="X96">
        <v>71.48</v>
      </c>
    </row>
    <row r="97" spans="1:24" ht="15">
      <c r="A97">
        <v>90</v>
      </c>
      <c r="B97">
        <v>5579</v>
      </c>
      <c r="C97" t="s">
        <v>302</v>
      </c>
      <c r="D97" t="s">
        <v>303</v>
      </c>
      <c r="E97" t="s">
        <v>106</v>
      </c>
      <c r="F97" t="str">
        <f>"00605231"</f>
        <v>00605231</v>
      </c>
      <c r="G97">
        <v>17.48</v>
      </c>
      <c r="H97">
        <v>0</v>
      </c>
      <c r="I97">
        <v>0</v>
      </c>
      <c r="J97">
        <v>28</v>
      </c>
      <c r="K97">
        <v>28</v>
      </c>
      <c r="L97">
        <v>7</v>
      </c>
      <c r="M97">
        <v>5</v>
      </c>
      <c r="O97">
        <v>12</v>
      </c>
      <c r="P97">
        <v>4</v>
      </c>
      <c r="Q97">
        <v>0</v>
      </c>
      <c r="R97">
        <v>61.48</v>
      </c>
      <c r="S97">
        <v>4</v>
      </c>
      <c r="T97">
        <v>4</v>
      </c>
      <c r="U97">
        <v>6</v>
      </c>
      <c r="V97">
        <v>0</v>
      </c>
      <c r="W97" t="s">
        <v>14</v>
      </c>
      <c r="X97">
        <v>71.48</v>
      </c>
    </row>
    <row r="98" spans="1:24" ht="15">
      <c r="A98">
        <v>91</v>
      </c>
      <c r="B98">
        <v>9327</v>
      </c>
      <c r="C98" t="s">
        <v>304</v>
      </c>
      <c r="D98" t="s">
        <v>305</v>
      </c>
      <c r="E98" t="s">
        <v>24</v>
      </c>
      <c r="F98" t="str">
        <f>"201412006810"</f>
        <v>201412006810</v>
      </c>
      <c r="G98">
        <v>19.2</v>
      </c>
      <c r="H98">
        <v>7</v>
      </c>
      <c r="I98">
        <v>0</v>
      </c>
      <c r="J98">
        <v>28</v>
      </c>
      <c r="K98">
        <v>28</v>
      </c>
      <c r="L98">
        <v>7</v>
      </c>
      <c r="N98">
        <v>3</v>
      </c>
      <c r="O98">
        <v>10</v>
      </c>
      <c r="P98">
        <v>4</v>
      </c>
      <c r="Q98">
        <v>0</v>
      </c>
      <c r="R98">
        <v>68.2</v>
      </c>
      <c r="S98">
        <v>0</v>
      </c>
      <c r="T98">
        <v>0</v>
      </c>
      <c r="U98">
        <v>3</v>
      </c>
      <c r="V98">
        <v>0</v>
      </c>
      <c r="W98" t="s">
        <v>14</v>
      </c>
      <c r="X98">
        <v>71.2</v>
      </c>
    </row>
    <row r="99" spans="1:24" ht="15">
      <c r="A99">
        <v>92</v>
      </c>
      <c r="B99">
        <v>86102</v>
      </c>
      <c r="C99" t="s">
        <v>310</v>
      </c>
      <c r="D99" t="s">
        <v>29</v>
      </c>
      <c r="E99" t="s">
        <v>53</v>
      </c>
      <c r="F99" t="str">
        <f>"00464810"</f>
        <v>00464810</v>
      </c>
      <c r="G99">
        <v>18.63</v>
      </c>
      <c r="H99">
        <v>0</v>
      </c>
      <c r="I99">
        <v>0</v>
      </c>
      <c r="J99">
        <v>28</v>
      </c>
      <c r="K99">
        <v>28</v>
      </c>
      <c r="N99">
        <v>6</v>
      </c>
      <c r="O99">
        <v>6</v>
      </c>
      <c r="P99">
        <v>4</v>
      </c>
      <c r="Q99">
        <v>0</v>
      </c>
      <c r="R99">
        <v>56.63</v>
      </c>
      <c r="S99">
        <v>14</v>
      </c>
      <c r="T99">
        <v>14</v>
      </c>
      <c r="U99">
        <v>0</v>
      </c>
      <c r="V99">
        <v>0</v>
      </c>
      <c r="W99" t="s">
        <v>14</v>
      </c>
      <c r="X99">
        <v>70.63</v>
      </c>
    </row>
    <row r="100" spans="1:24" ht="15">
      <c r="A100">
        <v>93</v>
      </c>
      <c r="B100">
        <v>83805</v>
      </c>
      <c r="C100" t="s">
        <v>314</v>
      </c>
      <c r="D100" t="s">
        <v>153</v>
      </c>
      <c r="E100" t="s">
        <v>109</v>
      </c>
      <c r="F100" t="str">
        <f>"00637261"</f>
        <v>00637261</v>
      </c>
      <c r="G100">
        <v>19.33</v>
      </c>
      <c r="H100">
        <v>7</v>
      </c>
      <c r="I100">
        <v>0</v>
      </c>
      <c r="J100">
        <v>20</v>
      </c>
      <c r="K100">
        <v>20</v>
      </c>
      <c r="L100">
        <v>7</v>
      </c>
      <c r="M100">
        <v>5</v>
      </c>
      <c r="O100">
        <v>12</v>
      </c>
      <c r="P100">
        <v>4</v>
      </c>
      <c r="Q100">
        <v>2</v>
      </c>
      <c r="R100">
        <v>64.33</v>
      </c>
      <c r="S100">
        <v>0</v>
      </c>
      <c r="T100">
        <v>0</v>
      </c>
      <c r="U100">
        <v>6</v>
      </c>
      <c r="V100">
        <v>0</v>
      </c>
      <c r="W100" t="s">
        <v>14</v>
      </c>
      <c r="X100">
        <v>70.33</v>
      </c>
    </row>
    <row r="101" spans="1:24" ht="15">
      <c r="A101">
        <v>94</v>
      </c>
      <c r="B101">
        <v>2451</v>
      </c>
      <c r="C101" t="s">
        <v>315</v>
      </c>
      <c r="D101" t="s">
        <v>316</v>
      </c>
      <c r="E101" t="s">
        <v>27</v>
      </c>
      <c r="F101" t="str">
        <f>"00037823"</f>
        <v>00037823</v>
      </c>
      <c r="G101">
        <v>18.23</v>
      </c>
      <c r="H101">
        <v>0</v>
      </c>
      <c r="I101">
        <v>0</v>
      </c>
      <c r="J101">
        <v>20</v>
      </c>
      <c r="K101">
        <v>20</v>
      </c>
      <c r="L101">
        <v>7</v>
      </c>
      <c r="N101">
        <v>3</v>
      </c>
      <c r="O101">
        <v>10</v>
      </c>
      <c r="P101">
        <v>4</v>
      </c>
      <c r="Q101">
        <v>2</v>
      </c>
      <c r="R101">
        <v>54.23</v>
      </c>
      <c r="S101">
        <v>10</v>
      </c>
      <c r="T101">
        <v>10</v>
      </c>
      <c r="U101">
        <v>6</v>
      </c>
      <c r="V101">
        <v>0</v>
      </c>
      <c r="W101" t="s">
        <v>14</v>
      </c>
      <c r="X101">
        <v>70.23</v>
      </c>
    </row>
    <row r="102" spans="1:24" ht="15">
      <c r="A102">
        <v>95</v>
      </c>
      <c r="B102">
        <v>95784</v>
      </c>
      <c r="C102" t="s">
        <v>317</v>
      </c>
      <c r="D102" t="s">
        <v>318</v>
      </c>
      <c r="E102" t="s">
        <v>21</v>
      </c>
      <c r="F102" t="str">
        <f>"00453044"</f>
        <v>00453044</v>
      </c>
      <c r="G102">
        <v>21.13</v>
      </c>
      <c r="H102">
        <v>0</v>
      </c>
      <c r="I102">
        <v>0</v>
      </c>
      <c r="J102">
        <v>20</v>
      </c>
      <c r="K102">
        <v>20</v>
      </c>
      <c r="L102">
        <v>7</v>
      </c>
      <c r="M102">
        <v>5</v>
      </c>
      <c r="O102">
        <v>12</v>
      </c>
      <c r="P102">
        <v>4</v>
      </c>
      <c r="Q102">
        <v>2</v>
      </c>
      <c r="R102">
        <v>59.13</v>
      </c>
      <c r="S102">
        <v>8</v>
      </c>
      <c r="T102">
        <v>8</v>
      </c>
      <c r="U102">
        <v>3</v>
      </c>
      <c r="V102">
        <v>0</v>
      </c>
      <c r="W102" t="s">
        <v>14</v>
      </c>
      <c r="X102">
        <v>70.13</v>
      </c>
    </row>
    <row r="103" spans="1:24" ht="15">
      <c r="A103">
        <v>96</v>
      </c>
      <c r="B103">
        <v>49058</v>
      </c>
      <c r="C103" t="s">
        <v>319</v>
      </c>
      <c r="D103" t="s">
        <v>80</v>
      </c>
      <c r="E103" t="s">
        <v>27</v>
      </c>
      <c r="F103" t="str">
        <f>"00608803"</f>
        <v>00608803</v>
      </c>
      <c r="G103">
        <v>19.13</v>
      </c>
      <c r="H103">
        <v>7</v>
      </c>
      <c r="I103">
        <v>0</v>
      </c>
      <c r="J103">
        <v>28</v>
      </c>
      <c r="K103">
        <v>28</v>
      </c>
      <c r="L103">
        <v>7</v>
      </c>
      <c r="M103">
        <v>5</v>
      </c>
      <c r="O103">
        <v>12</v>
      </c>
      <c r="P103">
        <v>4</v>
      </c>
      <c r="Q103">
        <v>0</v>
      </c>
      <c r="R103">
        <v>70.13</v>
      </c>
      <c r="S103">
        <v>0</v>
      </c>
      <c r="T103">
        <v>0</v>
      </c>
      <c r="U103">
        <v>0</v>
      </c>
      <c r="V103">
        <v>0</v>
      </c>
      <c r="W103" t="s">
        <v>14</v>
      </c>
      <c r="X103">
        <v>70.13</v>
      </c>
    </row>
    <row r="104" spans="1:24" ht="15">
      <c r="A104">
        <v>97</v>
      </c>
      <c r="B104">
        <v>62176</v>
      </c>
      <c r="C104" t="s">
        <v>323</v>
      </c>
      <c r="D104" t="s">
        <v>90</v>
      </c>
      <c r="E104" t="s">
        <v>324</v>
      </c>
      <c r="F104" t="str">
        <f>"200801002688"</f>
        <v>200801002688</v>
      </c>
      <c r="G104">
        <v>18.03</v>
      </c>
      <c r="H104">
        <v>7</v>
      </c>
      <c r="I104">
        <v>0</v>
      </c>
      <c r="J104">
        <v>28</v>
      </c>
      <c r="K104">
        <v>28</v>
      </c>
      <c r="L104">
        <v>7</v>
      </c>
      <c r="O104">
        <v>7</v>
      </c>
      <c r="P104">
        <v>4</v>
      </c>
      <c r="Q104">
        <v>0</v>
      </c>
      <c r="R104">
        <v>64.03</v>
      </c>
      <c r="S104">
        <v>3</v>
      </c>
      <c r="T104">
        <v>3</v>
      </c>
      <c r="U104">
        <v>3</v>
      </c>
      <c r="V104">
        <v>0</v>
      </c>
      <c r="W104" t="s">
        <v>14</v>
      </c>
      <c r="X104">
        <v>70.03</v>
      </c>
    </row>
    <row r="105" spans="1:24" ht="15">
      <c r="A105">
        <v>98</v>
      </c>
      <c r="B105">
        <v>65576</v>
      </c>
      <c r="C105" t="s">
        <v>325</v>
      </c>
      <c r="D105" t="s">
        <v>30</v>
      </c>
      <c r="E105" t="s">
        <v>215</v>
      </c>
      <c r="F105" t="str">
        <f>"00112990"</f>
        <v>00112990</v>
      </c>
      <c r="G105">
        <v>16.18</v>
      </c>
      <c r="H105">
        <v>0</v>
      </c>
      <c r="I105">
        <v>0</v>
      </c>
      <c r="J105">
        <v>20</v>
      </c>
      <c r="K105">
        <v>20</v>
      </c>
      <c r="N105">
        <v>3</v>
      </c>
      <c r="O105">
        <v>3</v>
      </c>
      <c r="P105">
        <v>4</v>
      </c>
      <c r="Q105">
        <v>0</v>
      </c>
      <c r="R105">
        <v>43.18</v>
      </c>
      <c r="S105">
        <v>0</v>
      </c>
      <c r="T105">
        <v>0</v>
      </c>
      <c r="U105">
        <v>0</v>
      </c>
      <c r="V105">
        <v>26.8</v>
      </c>
      <c r="W105" t="s">
        <v>14</v>
      </c>
      <c r="X105">
        <v>69.98</v>
      </c>
    </row>
    <row r="106" spans="1:24" ht="15">
      <c r="A106">
        <v>99</v>
      </c>
      <c r="B106">
        <v>21063</v>
      </c>
      <c r="C106" t="s">
        <v>328</v>
      </c>
      <c r="D106" t="s">
        <v>16</v>
      </c>
      <c r="E106" t="s">
        <v>17</v>
      </c>
      <c r="F106" t="str">
        <f>"00131492"</f>
        <v>00131492</v>
      </c>
      <c r="G106">
        <v>18.73</v>
      </c>
      <c r="H106">
        <v>7</v>
      </c>
      <c r="I106">
        <v>0</v>
      </c>
      <c r="J106">
        <v>28</v>
      </c>
      <c r="K106">
        <v>28</v>
      </c>
      <c r="L106">
        <v>7</v>
      </c>
      <c r="M106">
        <v>5</v>
      </c>
      <c r="O106">
        <v>12</v>
      </c>
      <c r="P106">
        <v>4</v>
      </c>
      <c r="Q106">
        <v>0</v>
      </c>
      <c r="R106">
        <v>69.73</v>
      </c>
      <c r="S106">
        <v>0</v>
      </c>
      <c r="T106">
        <v>0</v>
      </c>
      <c r="U106">
        <v>0</v>
      </c>
      <c r="V106">
        <v>0</v>
      </c>
      <c r="W106" t="s">
        <v>14</v>
      </c>
      <c r="X106">
        <v>69.73</v>
      </c>
    </row>
    <row r="107" spans="1:24" ht="15">
      <c r="A107">
        <v>100</v>
      </c>
      <c r="B107">
        <v>42562</v>
      </c>
      <c r="C107" t="s">
        <v>329</v>
      </c>
      <c r="D107" t="s">
        <v>139</v>
      </c>
      <c r="E107" t="s">
        <v>76</v>
      </c>
      <c r="F107" t="str">
        <f>"00618539"</f>
        <v>00618539</v>
      </c>
      <c r="G107">
        <v>21.65</v>
      </c>
      <c r="H107">
        <v>0</v>
      </c>
      <c r="I107">
        <v>0</v>
      </c>
      <c r="J107">
        <v>28</v>
      </c>
      <c r="K107">
        <v>28</v>
      </c>
      <c r="L107">
        <v>14</v>
      </c>
      <c r="O107">
        <v>14</v>
      </c>
      <c r="P107">
        <v>4</v>
      </c>
      <c r="Q107">
        <v>0</v>
      </c>
      <c r="R107">
        <v>67.65</v>
      </c>
      <c r="S107">
        <v>2</v>
      </c>
      <c r="T107">
        <v>2</v>
      </c>
      <c r="U107">
        <v>0</v>
      </c>
      <c r="V107">
        <v>0</v>
      </c>
      <c r="W107" t="s">
        <v>14</v>
      </c>
      <c r="X107">
        <v>69.65</v>
      </c>
    </row>
    <row r="108" spans="1:24" ht="15">
      <c r="A108">
        <v>101</v>
      </c>
      <c r="B108">
        <v>6279</v>
      </c>
      <c r="C108" t="s">
        <v>330</v>
      </c>
      <c r="D108" t="s">
        <v>75</v>
      </c>
      <c r="E108" t="s">
        <v>44</v>
      </c>
      <c r="F108" t="str">
        <f>"201401000301"</f>
        <v>201401000301</v>
      </c>
      <c r="G108">
        <v>18.35</v>
      </c>
      <c r="H108">
        <v>7</v>
      </c>
      <c r="I108">
        <v>0</v>
      </c>
      <c r="J108">
        <v>28</v>
      </c>
      <c r="K108">
        <v>28</v>
      </c>
      <c r="L108">
        <v>7</v>
      </c>
      <c r="M108">
        <v>5</v>
      </c>
      <c r="O108">
        <v>12</v>
      </c>
      <c r="P108">
        <v>4</v>
      </c>
      <c r="Q108">
        <v>0</v>
      </c>
      <c r="R108">
        <v>69.35</v>
      </c>
      <c r="S108">
        <v>0</v>
      </c>
      <c r="T108">
        <v>0</v>
      </c>
      <c r="U108">
        <v>0</v>
      </c>
      <c r="V108">
        <v>0</v>
      </c>
      <c r="W108" t="s">
        <v>14</v>
      </c>
      <c r="X108">
        <v>69.35</v>
      </c>
    </row>
    <row r="109" spans="1:24" ht="15">
      <c r="A109">
        <v>102</v>
      </c>
      <c r="B109">
        <v>46983</v>
      </c>
      <c r="C109" t="s">
        <v>331</v>
      </c>
      <c r="D109" t="s">
        <v>32</v>
      </c>
      <c r="E109" t="s">
        <v>24</v>
      </c>
      <c r="F109" t="str">
        <f>"00596449"</f>
        <v>00596449</v>
      </c>
      <c r="G109">
        <v>19.25</v>
      </c>
      <c r="H109">
        <v>0</v>
      </c>
      <c r="I109">
        <v>0</v>
      </c>
      <c r="J109">
        <v>28</v>
      </c>
      <c r="K109">
        <v>28</v>
      </c>
      <c r="L109">
        <v>7</v>
      </c>
      <c r="M109">
        <v>5</v>
      </c>
      <c r="O109">
        <v>12</v>
      </c>
      <c r="P109">
        <v>4</v>
      </c>
      <c r="Q109">
        <v>0</v>
      </c>
      <c r="R109">
        <v>63.25</v>
      </c>
      <c r="S109">
        <v>0</v>
      </c>
      <c r="T109">
        <v>0</v>
      </c>
      <c r="U109">
        <v>6</v>
      </c>
      <c r="V109">
        <v>0</v>
      </c>
      <c r="W109" t="s">
        <v>14</v>
      </c>
      <c r="X109">
        <v>69.25</v>
      </c>
    </row>
    <row r="110" spans="1:24" ht="15">
      <c r="A110">
        <v>103</v>
      </c>
      <c r="B110">
        <v>8261</v>
      </c>
      <c r="C110" t="s">
        <v>332</v>
      </c>
      <c r="D110" t="s">
        <v>333</v>
      </c>
      <c r="E110" t="s">
        <v>17</v>
      </c>
      <c r="F110" t="str">
        <f>"201412000588"</f>
        <v>201412000588</v>
      </c>
      <c r="G110">
        <v>17.2</v>
      </c>
      <c r="H110">
        <v>0</v>
      </c>
      <c r="I110">
        <v>0</v>
      </c>
      <c r="J110">
        <v>0</v>
      </c>
      <c r="K110">
        <v>0</v>
      </c>
      <c r="O110">
        <v>0</v>
      </c>
      <c r="P110">
        <v>4</v>
      </c>
      <c r="Q110">
        <v>0</v>
      </c>
      <c r="R110">
        <v>21.2</v>
      </c>
      <c r="S110">
        <v>48</v>
      </c>
      <c r="T110">
        <v>48</v>
      </c>
      <c r="U110">
        <v>0</v>
      </c>
      <c r="V110">
        <v>0</v>
      </c>
      <c r="W110" t="s">
        <v>14</v>
      </c>
      <c r="X110">
        <v>69.2</v>
      </c>
    </row>
    <row r="111" spans="1:24" ht="15">
      <c r="A111">
        <v>104</v>
      </c>
      <c r="B111">
        <v>33930</v>
      </c>
      <c r="C111" t="s">
        <v>334</v>
      </c>
      <c r="D111" t="s">
        <v>335</v>
      </c>
      <c r="E111" t="s">
        <v>109</v>
      </c>
      <c r="F111" t="str">
        <f>"201406013788"</f>
        <v>201406013788</v>
      </c>
      <c r="G111">
        <v>20.15</v>
      </c>
      <c r="H111">
        <v>7</v>
      </c>
      <c r="I111">
        <v>0</v>
      </c>
      <c r="J111">
        <v>28</v>
      </c>
      <c r="K111">
        <v>28</v>
      </c>
      <c r="L111">
        <v>7</v>
      </c>
      <c r="N111">
        <v>3</v>
      </c>
      <c r="O111">
        <v>10</v>
      </c>
      <c r="P111">
        <v>4</v>
      </c>
      <c r="Q111">
        <v>0</v>
      </c>
      <c r="R111">
        <v>69.15</v>
      </c>
      <c r="S111">
        <v>0</v>
      </c>
      <c r="T111">
        <v>0</v>
      </c>
      <c r="U111">
        <v>0</v>
      </c>
      <c r="V111">
        <v>0</v>
      </c>
      <c r="W111" t="s">
        <v>14</v>
      </c>
      <c r="X111">
        <v>69.15</v>
      </c>
    </row>
    <row r="112" spans="1:24" ht="15">
      <c r="A112">
        <v>105</v>
      </c>
      <c r="B112">
        <v>10612</v>
      </c>
      <c r="C112" t="s">
        <v>164</v>
      </c>
      <c r="D112" t="s">
        <v>336</v>
      </c>
      <c r="E112" t="s">
        <v>215</v>
      </c>
      <c r="F112" t="str">
        <f>"200805000662"</f>
        <v>200805000662</v>
      </c>
      <c r="G112">
        <v>16.05</v>
      </c>
      <c r="H112">
        <v>0</v>
      </c>
      <c r="I112">
        <v>0</v>
      </c>
      <c r="J112">
        <v>20</v>
      </c>
      <c r="K112">
        <v>20</v>
      </c>
      <c r="L112">
        <v>7</v>
      </c>
      <c r="O112">
        <v>7</v>
      </c>
      <c r="P112">
        <v>4</v>
      </c>
      <c r="Q112">
        <v>2</v>
      </c>
      <c r="R112">
        <v>49.05</v>
      </c>
      <c r="S112">
        <v>14</v>
      </c>
      <c r="T112">
        <v>14</v>
      </c>
      <c r="U112">
        <v>6</v>
      </c>
      <c r="V112">
        <v>0</v>
      </c>
      <c r="W112" t="s">
        <v>14</v>
      </c>
      <c r="X112">
        <v>69.05</v>
      </c>
    </row>
    <row r="113" spans="1:24" ht="15">
      <c r="A113">
        <v>106</v>
      </c>
      <c r="B113">
        <v>110708</v>
      </c>
      <c r="C113" t="s">
        <v>337</v>
      </c>
      <c r="D113" t="s">
        <v>23</v>
      </c>
      <c r="E113" t="s">
        <v>27</v>
      </c>
      <c r="F113" t="str">
        <f>"00634045"</f>
        <v>00634045</v>
      </c>
      <c r="G113">
        <v>21.85</v>
      </c>
      <c r="H113">
        <v>7</v>
      </c>
      <c r="I113">
        <v>0</v>
      </c>
      <c r="J113">
        <v>28</v>
      </c>
      <c r="K113">
        <v>28</v>
      </c>
      <c r="N113">
        <v>3</v>
      </c>
      <c r="O113">
        <v>3</v>
      </c>
      <c r="P113">
        <v>4</v>
      </c>
      <c r="Q113">
        <v>0</v>
      </c>
      <c r="R113">
        <v>63.85</v>
      </c>
      <c r="S113">
        <v>5</v>
      </c>
      <c r="T113">
        <v>5</v>
      </c>
      <c r="U113">
        <v>0</v>
      </c>
      <c r="V113">
        <v>0</v>
      </c>
      <c r="W113" t="s">
        <v>14</v>
      </c>
      <c r="X113">
        <v>68.85</v>
      </c>
    </row>
    <row r="114" spans="1:24" ht="15">
      <c r="A114">
        <v>107</v>
      </c>
      <c r="B114">
        <v>114141</v>
      </c>
      <c r="C114" t="s">
        <v>338</v>
      </c>
      <c r="D114" t="s">
        <v>252</v>
      </c>
      <c r="E114" t="s">
        <v>339</v>
      </c>
      <c r="F114" t="str">
        <f>"00643309"</f>
        <v>00643309</v>
      </c>
      <c r="G114">
        <v>21.8</v>
      </c>
      <c r="H114">
        <v>0</v>
      </c>
      <c r="I114">
        <v>0</v>
      </c>
      <c r="J114">
        <v>28</v>
      </c>
      <c r="K114">
        <v>28</v>
      </c>
      <c r="L114">
        <v>7</v>
      </c>
      <c r="N114">
        <v>3</v>
      </c>
      <c r="O114">
        <v>10</v>
      </c>
      <c r="P114">
        <v>4</v>
      </c>
      <c r="Q114">
        <v>2</v>
      </c>
      <c r="R114">
        <v>65.8</v>
      </c>
      <c r="S114">
        <v>0</v>
      </c>
      <c r="T114">
        <v>0</v>
      </c>
      <c r="U114">
        <v>3</v>
      </c>
      <c r="V114">
        <v>0</v>
      </c>
      <c r="W114" t="s">
        <v>14</v>
      </c>
      <c r="X114">
        <v>68.8</v>
      </c>
    </row>
    <row r="115" spans="1:24" ht="15">
      <c r="A115">
        <v>108</v>
      </c>
      <c r="B115">
        <v>60272</v>
      </c>
      <c r="C115" t="s">
        <v>343</v>
      </c>
      <c r="D115" t="s">
        <v>186</v>
      </c>
      <c r="E115" t="s">
        <v>53</v>
      </c>
      <c r="F115" t="str">
        <f>"201511037152"</f>
        <v>201511037152</v>
      </c>
      <c r="G115">
        <v>21.63</v>
      </c>
      <c r="H115">
        <v>0</v>
      </c>
      <c r="I115">
        <v>0</v>
      </c>
      <c r="J115">
        <v>28</v>
      </c>
      <c r="K115">
        <v>28</v>
      </c>
      <c r="L115">
        <v>7</v>
      </c>
      <c r="N115">
        <v>3</v>
      </c>
      <c r="O115">
        <v>10</v>
      </c>
      <c r="P115">
        <v>4</v>
      </c>
      <c r="Q115">
        <v>2</v>
      </c>
      <c r="R115">
        <v>65.63</v>
      </c>
      <c r="S115">
        <v>0</v>
      </c>
      <c r="T115">
        <v>0</v>
      </c>
      <c r="U115">
        <v>3</v>
      </c>
      <c r="V115">
        <v>0</v>
      </c>
      <c r="W115" t="s">
        <v>14</v>
      </c>
      <c r="X115">
        <v>68.63</v>
      </c>
    </row>
    <row r="116" spans="1:24" ht="15">
      <c r="A116">
        <v>109</v>
      </c>
      <c r="B116">
        <v>33266</v>
      </c>
      <c r="C116" t="s">
        <v>346</v>
      </c>
      <c r="D116" t="s">
        <v>347</v>
      </c>
      <c r="E116" t="s">
        <v>12</v>
      </c>
      <c r="F116" t="str">
        <f>"00524032"</f>
        <v>00524032</v>
      </c>
      <c r="G116">
        <v>17.4</v>
      </c>
      <c r="H116">
        <v>7</v>
      </c>
      <c r="I116">
        <v>0</v>
      </c>
      <c r="J116">
        <v>20</v>
      </c>
      <c r="K116">
        <v>20</v>
      </c>
      <c r="L116">
        <v>7</v>
      </c>
      <c r="O116">
        <v>7</v>
      </c>
      <c r="P116">
        <v>4</v>
      </c>
      <c r="Q116">
        <v>2</v>
      </c>
      <c r="R116">
        <v>57.4</v>
      </c>
      <c r="S116">
        <v>11</v>
      </c>
      <c r="T116">
        <v>11</v>
      </c>
      <c r="U116">
        <v>0</v>
      </c>
      <c r="V116">
        <v>0</v>
      </c>
      <c r="W116" t="s">
        <v>14</v>
      </c>
      <c r="X116">
        <v>68.4</v>
      </c>
    </row>
    <row r="117" spans="1:24" ht="15">
      <c r="A117">
        <v>110</v>
      </c>
      <c r="B117">
        <v>53887</v>
      </c>
      <c r="C117" t="s">
        <v>348</v>
      </c>
      <c r="D117" t="s">
        <v>349</v>
      </c>
      <c r="E117" t="s">
        <v>13</v>
      </c>
      <c r="F117" t="str">
        <f>"00543111"</f>
        <v>00543111</v>
      </c>
      <c r="G117">
        <v>20.35</v>
      </c>
      <c r="H117">
        <v>0</v>
      </c>
      <c r="I117">
        <v>0</v>
      </c>
      <c r="J117">
        <v>28</v>
      </c>
      <c r="K117">
        <v>28</v>
      </c>
      <c r="N117">
        <v>6</v>
      </c>
      <c r="O117">
        <v>6</v>
      </c>
      <c r="P117">
        <v>4</v>
      </c>
      <c r="Q117">
        <v>0</v>
      </c>
      <c r="R117">
        <v>58.35</v>
      </c>
      <c r="S117">
        <v>1</v>
      </c>
      <c r="T117">
        <v>1</v>
      </c>
      <c r="U117">
        <v>9</v>
      </c>
      <c r="V117">
        <v>0</v>
      </c>
      <c r="W117" t="s">
        <v>14</v>
      </c>
      <c r="X117">
        <v>68.35</v>
      </c>
    </row>
    <row r="118" spans="1:24" ht="15">
      <c r="A118">
        <v>111</v>
      </c>
      <c r="B118">
        <v>107692</v>
      </c>
      <c r="C118" t="s">
        <v>350</v>
      </c>
      <c r="D118" t="s">
        <v>23</v>
      </c>
      <c r="E118" t="s">
        <v>351</v>
      </c>
      <c r="F118" t="str">
        <f>"00303067"</f>
        <v>00303067</v>
      </c>
      <c r="G118">
        <v>16.2</v>
      </c>
      <c r="H118">
        <v>7</v>
      </c>
      <c r="I118">
        <v>0</v>
      </c>
      <c r="J118">
        <v>28</v>
      </c>
      <c r="K118">
        <v>28</v>
      </c>
      <c r="O118">
        <v>0</v>
      </c>
      <c r="P118">
        <v>4</v>
      </c>
      <c r="Q118">
        <v>2</v>
      </c>
      <c r="R118">
        <v>57.2</v>
      </c>
      <c r="S118">
        <v>5</v>
      </c>
      <c r="T118">
        <v>5</v>
      </c>
      <c r="U118">
        <v>6</v>
      </c>
      <c r="V118">
        <v>0</v>
      </c>
      <c r="W118" t="s">
        <v>14</v>
      </c>
      <c r="X118">
        <v>68.2</v>
      </c>
    </row>
    <row r="119" spans="1:24" ht="15">
      <c r="A119">
        <v>112</v>
      </c>
      <c r="B119">
        <v>13666</v>
      </c>
      <c r="C119" t="s">
        <v>354</v>
      </c>
      <c r="D119" t="s">
        <v>29</v>
      </c>
      <c r="E119" t="s">
        <v>124</v>
      </c>
      <c r="F119" t="str">
        <f>"00361251"</f>
        <v>00361251</v>
      </c>
      <c r="G119">
        <v>19.93</v>
      </c>
      <c r="H119">
        <v>0</v>
      </c>
      <c r="I119">
        <v>0</v>
      </c>
      <c r="J119">
        <v>20</v>
      </c>
      <c r="K119">
        <v>20</v>
      </c>
      <c r="L119">
        <v>7</v>
      </c>
      <c r="O119">
        <v>7</v>
      </c>
      <c r="P119">
        <v>4</v>
      </c>
      <c r="Q119">
        <v>2</v>
      </c>
      <c r="R119">
        <v>52.93</v>
      </c>
      <c r="S119">
        <v>3</v>
      </c>
      <c r="T119">
        <v>3</v>
      </c>
      <c r="U119">
        <v>12</v>
      </c>
      <c r="V119">
        <v>0</v>
      </c>
      <c r="W119" t="s">
        <v>14</v>
      </c>
      <c r="X119">
        <v>67.93</v>
      </c>
    </row>
    <row r="120" spans="1:24" ht="15">
      <c r="A120">
        <v>113</v>
      </c>
      <c r="B120">
        <v>111877</v>
      </c>
      <c r="C120" t="s">
        <v>355</v>
      </c>
      <c r="D120" t="s">
        <v>356</v>
      </c>
      <c r="E120" t="s">
        <v>357</v>
      </c>
      <c r="F120" t="str">
        <f>"201410012357"</f>
        <v>201410012357</v>
      </c>
      <c r="G120">
        <v>16.93</v>
      </c>
      <c r="H120">
        <v>0</v>
      </c>
      <c r="I120">
        <v>0</v>
      </c>
      <c r="J120">
        <v>20</v>
      </c>
      <c r="K120">
        <v>20</v>
      </c>
      <c r="O120">
        <v>0</v>
      </c>
      <c r="P120">
        <v>4</v>
      </c>
      <c r="Q120">
        <v>0</v>
      </c>
      <c r="R120">
        <v>40.93</v>
      </c>
      <c r="S120">
        <v>24</v>
      </c>
      <c r="T120">
        <v>24</v>
      </c>
      <c r="U120">
        <v>3</v>
      </c>
      <c r="V120">
        <v>0</v>
      </c>
      <c r="W120" t="s">
        <v>14</v>
      </c>
      <c r="X120">
        <v>67.93</v>
      </c>
    </row>
    <row r="121" spans="1:24" ht="15">
      <c r="A121">
        <v>114</v>
      </c>
      <c r="B121">
        <v>56855</v>
      </c>
      <c r="C121" t="s">
        <v>361</v>
      </c>
      <c r="D121" t="s">
        <v>29</v>
      </c>
      <c r="E121" t="s">
        <v>13</v>
      </c>
      <c r="F121" t="str">
        <f>"00509160"</f>
        <v>00509160</v>
      </c>
      <c r="G121">
        <v>17.88</v>
      </c>
      <c r="H121">
        <v>0</v>
      </c>
      <c r="I121">
        <v>0</v>
      </c>
      <c r="J121">
        <v>20</v>
      </c>
      <c r="K121">
        <v>20</v>
      </c>
      <c r="L121">
        <v>7</v>
      </c>
      <c r="M121">
        <v>5</v>
      </c>
      <c r="O121">
        <v>12</v>
      </c>
      <c r="P121">
        <v>4</v>
      </c>
      <c r="Q121">
        <v>2</v>
      </c>
      <c r="R121">
        <v>55.88</v>
      </c>
      <c r="S121">
        <v>0</v>
      </c>
      <c r="T121">
        <v>0</v>
      </c>
      <c r="U121">
        <v>12</v>
      </c>
      <c r="V121">
        <v>0</v>
      </c>
      <c r="W121" t="s">
        <v>14</v>
      </c>
      <c r="X121">
        <v>67.88</v>
      </c>
    </row>
    <row r="122" spans="1:24" ht="15">
      <c r="A122">
        <v>115</v>
      </c>
      <c r="B122">
        <v>25683</v>
      </c>
      <c r="C122" t="s">
        <v>362</v>
      </c>
      <c r="D122" t="s">
        <v>363</v>
      </c>
      <c r="E122" t="s">
        <v>27</v>
      </c>
      <c r="F122" t="str">
        <f>"201607121099"</f>
        <v>201607121099</v>
      </c>
      <c r="G122">
        <v>17.73</v>
      </c>
      <c r="H122">
        <v>0</v>
      </c>
      <c r="I122">
        <v>0</v>
      </c>
      <c r="J122">
        <v>28</v>
      </c>
      <c r="K122">
        <v>28</v>
      </c>
      <c r="L122">
        <v>7</v>
      </c>
      <c r="N122">
        <v>3</v>
      </c>
      <c r="O122">
        <v>10</v>
      </c>
      <c r="P122">
        <v>4</v>
      </c>
      <c r="Q122">
        <v>2</v>
      </c>
      <c r="R122">
        <v>61.73</v>
      </c>
      <c r="S122">
        <v>0</v>
      </c>
      <c r="T122">
        <v>0</v>
      </c>
      <c r="U122">
        <v>6</v>
      </c>
      <c r="V122">
        <v>0</v>
      </c>
      <c r="W122" t="s">
        <v>14</v>
      </c>
      <c r="X122">
        <v>67.73</v>
      </c>
    </row>
    <row r="123" spans="1:24" ht="15">
      <c r="A123">
        <v>116</v>
      </c>
      <c r="B123">
        <v>34561</v>
      </c>
      <c r="C123" t="s">
        <v>365</v>
      </c>
      <c r="D123" t="s">
        <v>50</v>
      </c>
      <c r="E123" t="s">
        <v>27</v>
      </c>
      <c r="F123" t="str">
        <f>"00604390"</f>
        <v>00604390</v>
      </c>
      <c r="G123">
        <v>21.68</v>
      </c>
      <c r="H123">
        <v>0</v>
      </c>
      <c r="I123">
        <v>0</v>
      </c>
      <c r="J123">
        <v>28</v>
      </c>
      <c r="K123">
        <v>28</v>
      </c>
      <c r="L123">
        <v>14</v>
      </c>
      <c r="O123">
        <v>14</v>
      </c>
      <c r="P123">
        <v>4</v>
      </c>
      <c r="Q123">
        <v>0</v>
      </c>
      <c r="R123">
        <v>67.68</v>
      </c>
      <c r="S123">
        <v>0</v>
      </c>
      <c r="T123">
        <v>0</v>
      </c>
      <c r="U123">
        <v>0</v>
      </c>
      <c r="V123">
        <v>0</v>
      </c>
      <c r="W123" t="s">
        <v>14</v>
      </c>
      <c r="X123">
        <v>67.68</v>
      </c>
    </row>
    <row r="124" spans="1:24" ht="15">
      <c r="A124">
        <v>117</v>
      </c>
      <c r="B124">
        <v>18108</v>
      </c>
      <c r="C124" t="s">
        <v>366</v>
      </c>
      <c r="D124" t="s">
        <v>17</v>
      </c>
      <c r="E124" t="s">
        <v>76</v>
      </c>
      <c r="F124" t="str">
        <f>"00218549"</f>
        <v>00218549</v>
      </c>
      <c r="G124">
        <v>13.6</v>
      </c>
      <c r="H124">
        <v>0</v>
      </c>
      <c r="I124">
        <v>0</v>
      </c>
      <c r="J124">
        <v>20</v>
      </c>
      <c r="K124">
        <v>20</v>
      </c>
      <c r="L124">
        <v>7</v>
      </c>
      <c r="O124">
        <v>7</v>
      </c>
      <c r="P124">
        <v>4</v>
      </c>
      <c r="Q124">
        <v>0</v>
      </c>
      <c r="R124">
        <v>44.6</v>
      </c>
      <c r="S124">
        <v>11</v>
      </c>
      <c r="T124">
        <v>11</v>
      </c>
      <c r="U124">
        <v>12</v>
      </c>
      <c r="V124">
        <v>0</v>
      </c>
      <c r="W124" t="s">
        <v>14</v>
      </c>
      <c r="X124">
        <v>67.6</v>
      </c>
    </row>
    <row r="125" spans="1:24" ht="15">
      <c r="A125">
        <v>118</v>
      </c>
      <c r="B125">
        <v>110313</v>
      </c>
      <c r="C125" t="s">
        <v>367</v>
      </c>
      <c r="D125" t="s">
        <v>288</v>
      </c>
      <c r="E125" t="s">
        <v>95</v>
      </c>
      <c r="F125" t="str">
        <f>"200907000496"</f>
        <v>200907000496</v>
      </c>
      <c r="G125">
        <v>20.55</v>
      </c>
      <c r="H125">
        <v>0</v>
      </c>
      <c r="I125">
        <v>0</v>
      </c>
      <c r="J125">
        <v>28</v>
      </c>
      <c r="K125">
        <v>28</v>
      </c>
      <c r="M125">
        <v>5</v>
      </c>
      <c r="O125">
        <v>5</v>
      </c>
      <c r="P125">
        <v>4</v>
      </c>
      <c r="Q125">
        <v>2</v>
      </c>
      <c r="R125">
        <v>59.55</v>
      </c>
      <c r="S125">
        <v>5</v>
      </c>
      <c r="T125">
        <v>5</v>
      </c>
      <c r="U125">
        <v>3</v>
      </c>
      <c r="V125">
        <v>0</v>
      </c>
      <c r="W125" t="s">
        <v>14</v>
      </c>
      <c r="X125">
        <v>67.55</v>
      </c>
    </row>
    <row r="126" spans="1:24" ht="15">
      <c r="A126">
        <v>119</v>
      </c>
      <c r="B126">
        <v>18856</v>
      </c>
      <c r="C126" t="s">
        <v>368</v>
      </c>
      <c r="D126" t="s">
        <v>53</v>
      </c>
      <c r="E126" t="s">
        <v>139</v>
      </c>
      <c r="F126" t="str">
        <f>"201406015917"</f>
        <v>201406015917</v>
      </c>
      <c r="G126">
        <v>13.5</v>
      </c>
      <c r="H126">
        <v>7</v>
      </c>
      <c r="I126">
        <v>0</v>
      </c>
      <c r="J126">
        <v>28</v>
      </c>
      <c r="K126">
        <v>28</v>
      </c>
      <c r="N126">
        <v>3</v>
      </c>
      <c r="O126">
        <v>3</v>
      </c>
      <c r="P126">
        <v>4</v>
      </c>
      <c r="Q126">
        <v>0</v>
      </c>
      <c r="R126">
        <v>55.5</v>
      </c>
      <c r="S126">
        <v>0</v>
      </c>
      <c r="T126">
        <v>0</v>
      </c>
      <c r="U126">
        <v>12</v>
      </c>
      <c r="V126">
        <v>0</v>
      </c>
      <c r="W126" t="s">
        <v>14</v>
      </c>
      <c r="X126">
        <v>67.5</v>
      </c>
    </row>
    <row r="127" spans="1:24" ht="15">
      <c r="A127">
        <v>120</v>
      </c>
      <c r="B127">
        <v>38483</v>
      </c>
      <c r="C127" t="s">
        <v>369</v>
      </c>
      <c r="D127" t="s">
        <v>370</v>
      </c>
      <c r="E127" t="s">
        <v>124</v>
      </c>
      <c r="F127" t="str">
        <f>"00369700"</f>
        <v>00369700</v>
      </c>
      <c r="G127">
        <v>18.5</v>
      </c>
      <c r="H127">
        <v>0</v>
      </c>
      <c r="I127">
        <v>0</v>
      </c>
      <c r="J127">
        <v>0</v>
      </c>
      <c r="K127">
        <v>0</v>
      </c>
      <c r="N127">
        <v>3</v>
      </c>
      <c r="O127">
        <v>3</v>
      </c>
      <c r="P127">
        <v>4</v>
      </c>
      <c r="Q127">
        <v>2</v>
      </c>
      <c r="R127">
        <v>27.5</v>
      </c>
      <c r="S127">
        <v>37</v>
      </c>
      <c r="T127">
        <v>37</v>
      </c>
      <c r="U127">
        <v>3</v>
      </c>
      <c r="V127">
        <v>0</v>
      </c>
      <c r="W127" t="s">
        <v>14</v>
      </c>
      <c r="X127">
        <v>67.5</v>
      </c>
    </row>
    <row r="128" spans="1:24" ht="15">
      <c r="A128">
        <v>121</v>
      </c>
      <c r="B128">
        <v>8653</v>
      </c>
      <c r="C128" t="s">
        <v>376</v>
      </c>
      <c r="D128" t="s">
        <v>377</v>
      </c>
      <c r="E128" t="s">
        <v>17</v>
      </c>
      <c r="F128" t="str">
        <f>"00581724"</f>
        <v>00581724</v>
      </c>
      <c r="G128">
        <v>20.4</v>
      </c>
      <c r="H128">
        <v>0</v>
      </c>
      <c r="I128">
        <v>0</v>
      </c>
      <c r="J128">
        <v>28</v>
      </c>
      <c r="K128">
        <v>28</v>
      </c>
      <c r="L128">
        <v>7</v>
      </c>
      <c r="N128">
        <v>3</v>
      </c>
      <c r="O128">
        <v>10</v>
      </c>
      <c r="P128">
        <v>4</v>
      </c>
      <c r="Q128">
        <v>2</v>
      </c>
      <c r="R128">
        <v>64.4</v>
      </c>
      <c r="S128">
        <v>0</v>
      </c>
      <c r="T128">
        <v>0</v>
      </c>
      <c r="U128">
        <v>3</v>
      </c>
      <c r="V128">
        <v>0</v>
      </c>
      <c r="W128" t="s">
        <v>14</v>
      </c>
      <c r="X128">
        <v>67.4</v>
      </c>
    </row>
    <row r="129" spans="1:24" ht="15">
      <c r="A129">
        <v>122</v>
      </c>
      <c r="B129">
        <v>49267</v>
      </c>
      <c r="C129" t="s">
        <v>379</v>
      </c>
      <c r="D129" t="s">
        <v>370</v>
      </c>
      <c r="E129" t="s">
        <v>27</v>
      </c>
      <c r="F129" t="str">
        <f>"200802001441"</f>
        <v>200802001441</v>
      </c>
      <c r="G129">
        <v>20.38</v>
      </c>
      <c r="H129">
        <v>0</v>
      </c>
      <c r="I129">
        <v>0</v>
      </c>
      <c r="J129">
        <v>28</v>
      </c>
      <c r="K129">
        <v>28</v>
      </c>
      <c r="N129">
        <v>3</v>
      </c>
      <c r="O129">
        <v>3</v>
      </c>
      <c r="P129">
        <v>4</v>
      </c>
      <c r="Q129">
        <v>0</v>
      </c>
      <c r="R129">
        <v>55.38</v>
      </c>
      <c r="S129">
        <v>0</v>
      </c>
      <c r="T129">
        <v>0</v>
      </c>
      <c r="U129">
        <v>12</v>
      </c>
      <c r="V129">
        <v>0</v>
      </c>
      <c r="W129" t="s">
        <v>14</v>
      </c>
      <c r="X129">
        <v>67.38</v>
      </c>
    </row>
    <row r="130" spans="1:24" ht="15">
      <c r="A130">
        <v>123</v>
      </c>
      <c r="B130">
        <v>67417</v>
      </c>
      <c r="C130" t="s">
        <v>380</v>
      </c>
      <c r="D130" t="s">
        <v>381</v>
      </c>
      <c r="E130" t="s">
        <v>382</v>
      </c>
      <c r="F130" t="str">
        <f>"00577688"</f>
        <v>00577688</v>
      </c>
      <c r="G130">
        <v>18.3</v>
      </c>
      <c r="H130">
        <v>7</v>
      </c>
      <c r="I130">
        <v>0</v>
      </c>
      <c r="J130">
        <v>28</v>
      </c>
      <c r="K130">
        <v>28</v>
      </c>
      <c r="L130">
        <v>7</v>
      </c>
      <c r="N130">
        <v>3</v>
      </c>
      <c r="O130">
        <v>10</v>
      </c>
      <c r="P130">
        <v>4</v>
      </c>
      <c r="Q130">
        <v>0</v>
      </c>
      <c r="R130">
        <v>67.3</v>
      </c>
      <c r="S130">
        <v>0</v>
      </c>
      <c r="T130">
        <v>0</v>
      </c>
      <c r="U130">
        <v>0</v>
      </c>
      <c r="V130">
        <v>0</v>
      </c>
      <c r="W130" t="s">
        <v>14</v>
      </c>
      <c r="X130">
        <v>67.3</v>
      </c>
    </row>
    <row r="131" spans="1:24" ht="15">
      <c r="A131">
        <v>124</v>
      </c>
      <c r="B131">
        <v>59421</v>
      </c>
      <c r="C131" t="s">
        <v>383</v>
      </c>
      <c r="D131" t="s">
        <v>252</v>
      </c>
      <c r="E131" t="s">
        <v>53</v>
      </c>
      <c r="F131" t="str">
        <f>"201412006236"</f>
        <v>201412006236</v>
      </c>
      <c r="G131">
        <v>18.15</v>
      </c>
      <c r="H131">
        <v>0</v>
      </c>
      <c r="I131">
        <v>0</v>
      </c>
      <c r="J131">
        <v>28</v>
      </c>
      <c r="K131">
        <v>28</v>
      </c>
      <c r="L131">
        <v>7</v>
      </c>
      <c r="M131">
        <v>5</v>
      </c>
      <c r="O131">
        <v>12</v>
      </c>
      <c r="P131">
        <v>4</v>
      </c>
      <c r="Q131">
        <v>2</v>
      </c>
      <c r="R131">
        <v>64.15</v>
      </c>
      <c r="S131">
        <v>0</v>
      </c>
      <c r="T131">
        <v>0</v>
      </c>
      <c r="U131">
        <v>3</v>
      </c>
      <c r="V131">
        <v>0</v>
      </c>
      <c r="W131" t="s">
        <v>14</v>
      </c>
      <c r="X131">
        <v>67.15</v>
      </c>
    </row>
    <row r="132" spans="1:24" ht="15">
      <c r="A132">
        <v>125</v>
      </c>
      <c r="B132">
        <v>114128</v>
      </c>
      <c r="C132" t="s">
        <v>384</v>
      </c>
      <c r="D132" t="s">
        <v>372</v>
      </c>
      <c r="E132" t="s">
        <v>21</v>
      </c>
      <c r="F132" t="str">
        <f>"00590944"</f>
        <v>00590944</v>
      </c>
      <c r="G132">
        <v>18.13</v>
      </c>
      <c r="H132">
        <v>0</v>
      </c>
      <c r="I132">
        <v>0</v>
      </c>
      <c r="J132">
        <v>28</v>
      </c>
      <c r="K132">
        <v>28</v>
      </c>
      <c r="L132">
        <v>7</v>
      </c>
      <c r="M132">
        <v>5</v>
      </c>
      <c r="O132">
        <v>12</v>
      </c>
      <c r="P132">
        <v>4</v>
      </c>
      <c r="Q132">
        <v>2</v>
      </c>
      <c r="R132">
        <v>64.13</v>
      </c>
      <c r="S132">
        <v>0</v>
      </c>
      <c r="T132">
        <v>0</v>
      </c>
      <c r="U132">
        <v>3</v>
      </c>
      <c r="V132">
        <v>0</v>
      </c>
      <c r="W132" t="s">
        <v>14</v>
      </c>
      <c r="X132">
        <v>67.13</v>
      </c>
    </row>
    <row r="133" spans="1:24" ht="15">
      <c r="A133">
        <v>126</v>
      </c>
      <c r="B133">
        <v>111259</v>
      </c>
      <c r="C133" t="s">
        <v>386</v>
      </c>
      <c r="D133" t="s">
        <v>387</v>
      </c>
      <c r="E133" t="s">
        <v>21</v>
      </c>
      <c r="F133" t="str">
        <f>"00648606"</f>
        <v>00648606</v>
      </c>
      <c r="G133">
        <v>17</v>
      </c>
      <c r="H133">
        <v>0</v>
      </c>
      <c r="I133">
        <v>0</v>
      </c>
      <c r="J133">
        <v>28</v>
      </c>
      <c r="K133">
        <v>28</v>
      </c>
      <c r="L133">
        <v>7</v>
      </c>
      <c r="O133">
        <v>7</v>
      </c>
      <c r="P133">
        <v>4</v>
      </c>
      <c r="Q133">
        <v>2</v>
      </c>
      <c r="R133">
        <v>58</v>
      </c>
      <c r="S133">
        <v>0</v>
      </c>
      <c r="T133">
        <v>0</v>
      </c>
      <c r="U133">
        <v>9</v>
      </c>
      <c r="V133">
        <v>0</v>
      </c>
      <c r="W133" t="s">
        <v>14</v>
      </c>
      <c r="X133">
        <v>67</v>
      </c>
    </row>
    <row r="134" spans="1:24" ht="15">
      <c r="A134">
        <v>127</v>
      </c>
      <c r="B134">
        <v>61134</v>
      </c>
      <c r="C134" t="s">
        <v>388</v>
      </c>
      <c r="D134" t="s">
        <v>359</v>
      </c>
      <c r="E134" t="s">
        <v>21</v>
      </c>
      <c r="F134" t="str">
        <f>"00574760"</f>
        <v>00574760</v>
      </c>
      <c r="G134">
        <v>17.95</v>
      </c>
      <c r="H134">
        <v>0</v>
      </c>
      <c r="I134">
        <v>0</v>
      </c>
      <c r="J134">
        <v>28</v>
      </c>
      <c r="K134">
        <v>28</v>
      </c>
      <c r="L134">
        <v>7</v>
      </c>
      <c r="M134">
        <v>5</v>
      </c>
      <c r="O134">
        <v>12</v>
      </c>
      <c r="P134">
        <v>4</v>
      </c>
      <c r="Q134">
        <v>2</v>
      </c>
      <c r="R134">
        <v>63.95</v>
      </c>
      <c r="S134">
        <v>0</v>
      </c>
      <c r="T134">
        <v>0</v>
      </c>
      <c r="U134">
        <v>3</v>
      </c>
      <c r="V134">
        <v>0</v>
      </c>
      <c r="W134" t="s">
        <v>14</v>
      </c>
      <c r="X134">
        <v>66.95</v>
      </c>
    </row>
    <row r="135" spans="1:24" ht="15">
      <c r="A135">
        <v>128</v>
      </c>
      <c r="B135">
        <v>99463</v>
      </c>
      <c r="C135" t="s">
        <v>389</v>
      </c>
      <c r="D135" t="s">
        <v>390</v>
      </c>
      <c r="E135" t="s">
        <v>391</v>
      </c>
      <c r="F135" t="str">
        <f>"00118185"</f>
        <v>00118185</v>
      </c>
      <c r="G135">
        <v>19.9</v>
      </c>
      <c r="H135">
        <v>7</v>
      </c>
      <c r="I135">
        <v>0</v>
      </c>
      <c r="J135">
        <v>20</v>
      </c>
      <c r="K135">
        <v>20</v>
      </c>
      <c r="L135">
        <v>7</v>
      </c>
      <c r="N135">
        <v>3</v>
      </c>
      <c r="O135">
        <v>10</v>
      </c>
      <c r="P135">
        <v>4</v>
      </c>
      <c r="Q135">
        <v>0</v>
      </c>
      <c r="R135">
        <v>60.9</v>
      </c>
      <c r="S135">
        <v>0</v>
      </c>
      <c r="T135">
        <v>0</v>
      </c>
      <c r="U135">
        <v>6</v>
      </c>
      <c r="V135">
        <v>0</v>
      </c>
      <c r="W135" t="s">
        <v>14</v>
      </c>
      <c r="X135">
        <v>66.9</v>
      </c>
    </row>
    <row r="136" spans="1:24" ht="15">
      <c r="A136">
        <v>129</v>
      </c>
      <c r="B136">
        <v>22841</v>
      </c>
      <c r="C136" t="s">
        <v>400</v>
      </c>
      <c r="D136" t="s">
        <v>401</v>
      </c>
      <c r="E136" t="s">
        <v>12</v>
      </c>
      <c r="F136" t="str">
        <f>"200811000788"</f>
        <v>200811000788</v>
      </c>
      <c r="G136">
        <v>19.5</v>
      </c>
      <c r="H136">
        <v>0</v>
      </c>
      <c r="I136">
        <v>0</v>
      </c>
      <c r="J136">
        <v>28</v>
      </c>
      <c r="K136">
        <v>28</v>
      </c>
      <c r="N136">
        <v>3</v>
      </c>
      <c r="O136">
        <v>3</v>
      </c>
      <c r="P136">
        <v>4</v>
      </c>
      <c r="Q136">
        <v>2</v>
      </c>
      <c r="R136">
        <v>56.5</v>
      </c>
      <c r="S136">
        <v>1</v>
      </c>
      <c r="T136">
        <v>1</v>
      </c>
      <c r="U136">
        <v>9</v>
      </c>
      <c r="V136">
        <v>0</v>
      </c>
      <c r="W136" t="s">
        <v>14</v>
      </c>
      <c r="X136">
        <v>66.5</v>
      </c>
    </row>
    <row r="137" spans="1:24" ht="15">
      <c r="A137">
        <v>130</v>
      </c>
      <c r="B137">
        <v>18703</v>
      </c>
      <c r="C137" t="s">
        <v>402</v>
      </c>
      <c r="D137" t="s">
        <v>403</v>
      </c>
      <c r="E137" t="s">
        <v>17</v>
      </c>
      <c r="F137" t="str">
        <f>"00162227"</f>
        <v>00162227</v>
      </c>
      <c r="G137">
        <v>17.5</v>
      </c>
      <c r="H137">
        <v>0</v>
      </c>
      <c r="I137">
        <v>0</v>
      </c>
      <c r="J137">
        <v>28</v>
      </c>
      <c r="K137">
        <v>28</v>
      </c>
      <c r="L137">
        <v>7</v>
      </c>
      <c r="N137">
        <v>3</v>
      </c>
      <c r="O137">
        <v>10</v>
      </c>
      <c r="P137">
        <v>4</v>
      </c>
      <c r="Q137">
        <v>0</v>
      </c>
      <c r="R137">
        <v>59.5</v>
      </c>
      <c r="S137">
        <v>1</v>
      </c>
      <c r="T137">
        <v>1</v>
      </c>
      <c r="U137">
        <v>6</v>
      </c>
      <c r="V137">
        <v>0</v>
      </c>
      <c r="W137" t="s">
        <v>14</v>
      </c>
      <c r="X137">
        <v>66.5</v>
      </c>
    </row>
    <row r="138" spans="1:24" ht="15">
      <c r="A138">
        <v>131</v>
      </c>
      <c r="B138">
        <v>113267</v>
      </c>
      <c r="C138" t="s">
        <v>404</v>
      </c>
      <c r="D138" t="s">
        <v>218</v>
      </c>
      <c r="E138" t="s">
        <v>120</v>
      </c>
      <c r="F138" t="str">
        <f>"00015843"</f>
        <v>00015843</v>
      </c>
      <c r="G138">
        <v>18.5</v>
      </c>
      <c r="H138">
        <v>0</v>
      </c>
      <c r="I138">
        <v>0</v>
      </c>
      <c r="J138">
        <v>20</v>
      </c>
      <c r="K138">
        <v>20</v>
      </c>
      <c r="N138">
        <v>3</v>
      </c>
      <c r="O138">
        <v>3</v>
      </c>
      <c r="P138">
        <v>4</v>
      </c>
      <c r="Q138">
        <v>0</v>
      </c>
      <c r="R138">
        <v>45.5</v>
      </c>
      <c r="S138">
        <v>15</v>
      </c>
      <c r="T138">
        <v>15</v>
      </c>
      <c r="U138">
        <v>6</v>
      </c>
      <c r="V138">
        <v>0</v>
      </c>
      <c r="W138" t="s">
        <v>14</v>
      </c>
      <c r="X138">
        <v>66.5</v>
      </c>
    </row>
    <row r="139" spans="1:24" ht="15">
      <c r="A139">
        <v>132</v>
      </c>
      <c r="B139">
        <v>89581</v>
      </c>
      <c r="C139" t="s">
        <v>405</v>
      </c>
      <c r="D139" t="s">
        <v>252</v>
      </c>
      <c r="E139" t="s">
        <v>44</v>
      </c>
      <c r="F139" t="str">
        <f>"201411001722"</f>
        <v>201411001722</v>
      </c>
      <c r="G139">
        <v>18.48</v>
      </c>
      <c r="H139">
        <v>7</v>
      </c>
      <c r="I139">
        <v>0</v>
      </c>
      <c r="J139">
        <v>20</v>
      </c>
      <c r="K139">
        <v>20</v>
      </c>
      <c r="L139">
        <v>14</v>
      </c>
      <c r="O139">
        <v>14</v>
      </c>
      <c r="P139">
        <v>4</v>
      </c>
      <c r="Q139">
        <v>0</v>
      </c>
      <c r="R139">
        <v>63.48</v>
      </c>
      <c r="S139">
        <v>0</v>
      </c>
      <c r="T139">
        <v>0</v>
      </c>
      <c r="U139">
        <v>3</v>
      </c>
      <c r="V139">
        <v>0</v>
      </c>
      <c r="W139" t="s">
        <v>14</v>
      </c>
      <c r="X139">
        <v>66.48</v>
      </c>
    </row>
    <row r="140" spans="1:24" ht="15">
      <c r="A140">
        <v>133</v>
      </c>
      <c r="B140">
        <v>8122</v>
      </c>
      <c r="C140" t="s">
        <v>409</v>
      </c>
      <c r="D140" t="s">
        <v>17</v>
      </c>
      <c r="E140" t="s">
        <v>273</v>
      </c>
      <c r="F140" t="str">
        <f>"201005000163"</f>
        <v>201005000163</v>
      </c>
      <c r="G140">
        <v>17.23</v>
      </c>
      <c r="H140">
        <v>7</v>
      </c>
      <c r="I140">
        <v>0</v>
      </c>
      <c r="J140">
        <v>28</v>
      </c>
      <c r="K140">
        <v>28</v>
      </c>
      <c r="L140">
        <v>7</v>
      </c>
      <c r="O140">
        <v>7</v>
      </c>
      <c r="P140">
        <v>4</v>
      </c>
      <c r="Q140">
        <v>0</v>
      </c>
      <c r="R140">
        <v>63.23</v>
      </c>
      <c r="S140">
        <v>0</v>
      </c>
      <c r="T140">
        <v>0</v>
      </c>
      <c r="U140">
        <v>3</v>
      </c>
      <c r="V140">
        <v>0</v>
      </c>
      <c r="W140" t="s">
        <v>14</v>
      </c>
      <c r="X140">
        <v>66.23</v>
      </c>
    </row>
    <row r="141" spans="1:24" ht="15">
      <c r="A141">
        <v>134</v>
      </c>
      <c r="B141">
        <v>59896</v>
      </c>
      <c r="C141" t="s">
        <v>412</v>
      </c>
      <c r="D141" t="s">
        <v>29</v>
      </c>
      <c r="E141" t="s">
        <v>21</v>
      </c>
      <c r="F141" t="str">
        <f>"201504001555"</f>
        <v>201504001555</v>
      </c>
      <c r="G141">
        <v>19.05</v>
      </c>
      <c r="H141">
        <v>0</v>
      </c>
      <c r="I141">
        <v>0</v>
      </c>
      <c r="J141">
        <v>28</v>
      </c>
      <c r="K141">
        <v>28</v>
      </c>
      <c r="L141">
        <v>7</v>
      </c>
      <c r="M141">
        <v>5</v>
      </c>
      <c r="O141">
        <v>12</v>
      </c>
      <c r="P141">
        <v>4</v>
      </c>
      <c r="Q141">
        <v>0</v>
      </c>
      <c r="R141">
        <v>63.05</v>
      </c>
      <c r="S141">
        <v>0</v>
      </c>
      <c r="T141">
        <v>0</v>
      </c>
      <c r="U141">
        <v>3</v>
      </c>
      <c r="V141">
        <v>0</v>
      </c>
      <c r="W141" t="s">
        <v>14</v>
      </c>
      <c r="X141">
        <v>66.05</v>
      </c>
    </row>
    <row r="142" spans="1:24" ht="15">
      <c r="A142">
        <v>135</v>
      </c>
      <c r="B142">
        <v>105448</v>
      </c>
      <c r="C142" t="s">
        <v>413</v>
      </c>
      <c r="D142" t="s">
        <v>153</v>
      </c>
      <c r="E142" t="s">
        <v>414</v>
      </c>
      <c r="F142" t="str">
        <f>"201504005157"</f>
        <v>201504005157</v>
      </c>
      <c r="G142">
        <v>20.98</v>
      </c>
      <c r="H142">
        <v>0</v>
      </c>
      <c r="I142">
        <v>0</v>
      </c>
      <c r="J142">
        <v>28</v>
      </c>
      <c r="K142">
        <v>28</v>
      </c>
      <c r="L142">
        <v>7</v>
      </c>
      <c r="O142">
        <v>7</v>
      </c>
      <c r="P142">
        <v>4</v>
      </c>
      <c r="Q142">
        <v>0</v>
      </c>
      <c r="R142">
        <v>59.98</v>
      </c>
      <c r="S142">
        <v>6</v>
      </c>
      <c r="T142">
        <v>6</v>
      </c>
      <c r="U142">
        <v>0</v>
      </c>
      <c r="V142">
        <v>0</v>
      </c>
      <c r="W142" t="s">
        <v>14</v>
      </c>
      <c r="X142">
        <v>65.98</v>
      </c>
    </row>
    <row r="143" spans="1:24" ht="15">
      <c r="A143">
        <v>136</v>
      </c>
      <c r="B143">
        <v>6015</v>
      </c>
      <c r="C143" t="s">
        <v>422</v>
      </c>
      <c r="D143" t="s">
        <v>37</v>
      </c>
      <c r="E143" t="s">
        <v>27</v>
      </c>
      <c r="F143" t="str">
        <f>"201504002284"</f>
        <v>201504002284</v>
      </c>
      <c r="G143">
        <v>17.7</v>
      </c>
      <c r="H143">
        <v>0</v>
      </c>
      <c r="I143">
        <v>0</v>
      </c>
      <c r="J143">
        <v>28</v>
      </c>
      <c r="K143">
        <v>28</v>
      </c>
      <c r="L143">
        <v>14</v>
      </c>
      <c r="O143">
        <v>14</v>
      </c>
      <c r="P143">
        <v>4</v>
      </c>
      <c r="Q143">
        <v>2</v>
      </c>
      <c r="R143">
        <v>65.7</v>
      </c>
      <c r="S143">
        <v>0</v>
      </c>
      <c r="T143">
        <v>0</v>
      </c>
      <c r="U143">
        <v>0</v>
      </c>
      <c r="V143">
        <v>0</v>
      </c>
      <c r="W143" t="s">
        <v>14</v>
      </c>
      <c r="X143">
        <v>65.7</v>
      </c>
    </row>
    <row r="144" spans="1:24" ht="15">
      <c r="A144">
        <v>137</v>
      </c>
      <c r="B144">
        <v>19349</v>
      </c>
      <c r="C144" t="s">
        <v>424</v>
      </c>
      <c r="D144" t="s">
        <v>296</v>
      </c>
      <c r="E144" t="s">
        <v>30</v>
      </c>
      <c r="F144" t="str">
        <f>"201412000247"</f>
        <v>201412000247</v>
      </c>
      <c r="G144">
        <v>17.55</v>
      </c>
      <c r="H144">
        <v>0</v>
      </c>
      <c r="I144">
        <v>0</v>
      </c>
      <c r="J144">
        <v>28</v>
      </c>
      <c r="K144">
        <v>28</v>
      </c>
      <c r="L144">
        <v>14</v>
      </c>
      <c r="O144">
        <v>14</v>
      </c>
      <c r="P144">
        <v>4</v>
      </c>
      <c r="Q144">
        <v>2</v>
      </c>
      <c r="R144">
        <v>65.55</v>
      </c>
      <c r="S144">
        <v>0</v>
      </c>
      <c r="T144">
        <v>0</v>
      </c>
      <c r="U144">
        <v>0</v>
      </c>
      <c r="V144">
        <v>0</v>
      </c>
      <c r="W144" t="s">
        <v>14</v>
      </c>
      <c r="X144">
        <v>65.55</v>
      </c>
    </row>
    <row r="145" spans="1:24" ht="15">
      <c r="A145">
        <v>138</v>
      </c>
      <c r="B145">
        <v>108243</v>
      </c>
      <c r="C145" t="s">
        <v>425</v>
      </c>
      <c r="D145" t="s">
        <v>16</v>
      </c>
      <c r="E145" t="s">
        <v>12</v>
      </c>
      <c r="F145" t="str">
        <f>"00462585"</f>
        <v>00462585</v>
      </c>
      <c r="G145">
        <v>19.45</v>
      </c>
      <c r="H145">
        <v>0</v>
      </c>
      <c r="I145">
        <v>0</v>
      </c>
      <c r="J145">
        <v>28</v>
      </c>
      <c r="K145">
        <v>28</v>
      </c>
      <c r="L145">
        <v>7</v>
      </c>
      <c r="M145">
        <v>5</v>
      </c>
      <c r="O145">
        <v>12</v>
      </c>
      <c r="P145">
        <v>4</v>
      </c>
      <c r="Q145">
        <v>2</v>
      </c>
      <c r="R145">
        <v>65.45</v>
      </c>
      <c r="S145">
        <v>0</v>
      </c>
      <c r="T145">
        <v>0</v>
      </c>
      <c r="U145">
        <v>0</v>
      </c>
      <c r="V145">
        <v>0</v>
      </c>
      <c r="W145" t="s">
        <v>14</v>
      </c>
      <c r="X145">
        <v>65.45</v>
      </c>
    </row>
    <row r="146" spans="1:24" ht="15">
      <c r="A146">
        <v>139</v>
      </c>
      <c r="B146">
        <v>17412</v>
      </c>
      <c r="C146" t="s">
        <v>431</v>
      </c>
      <c r="D146" t="s">
        <v>21</v>
      </c>
      <c r="E146" t="s">
        <v>53</v>
      </c>
      <c r="F146" t="str">
        <f>"200801004128"</f>
        <v>200801004128</v>
      </c>
      <c r="G146">
        <v>19.35</v>
      </c>
      <c r="H146">
        <v>7</v>
      </c>
      <c r="I146">
        <v>0</v>
      </c>
      <c r="J146">
        <v>20</v>
      </c>
      <c r="K146">
        <v>20</v>
      </c>
      <c r="N146">
        <v>6</v>
      </c>
      <c r="O146">
        <v>6</v>
      </c>
      <c r="P146">
        <v>4</v>
      </c>
      <c r="Q146">
        <v>0</v>
      </c>
      <c r="R146">
        <v>56.35</v>
      </c>
      <c r="S146">
        <v>9</v>
      </c>
      <c r="T146">
        <v>9</v>
      </c>
      <c r="U146">
        <v>0</v>
      </c>
      <c r="V146">
        <v>0</v>
      </c>
      <c r="W146" t="s">
        <v>14</v>
      </c>
      <c r="X146">
        <v>65.35</v>
      </c>
    </row>
    <row r="147" spans="1:24" ht="15">
      <c r="A147">
        <v>140</v>
      </c>
      <c r="B147">
        <v>33009</v>
      </c>
      <c r="C147" t="s">
        <v>435</v>
      </c>
      <c r="D147" t="s">
        <v>75</v>
      </c>
      <c r="E147" t="s">
        <v>17</v>
      </c>
      <c r="F147" t="str">
        <f>"00355605"</f>
        <v>00355605</v>
      </c>
      <c r="G147">
        <v>20.25</v>
      </c>
      <c r="H147">
        <v>0</v>
      </c>
      <c r="I147">
        <v>0</v>
      </c>
      <c r="J147">
        <v>28</v>
      </c>
      <c r="K147">
        <v>28</v>
      </c>
      <c r="L147">
        <v>7</v>
      </c>
      <c r="N147">
        <v>3</v>
      </c>
      <c r="O147">
        <v>10</v>
      </c>
      <c r="P147">
        <v>4</v>
      </c>
      <c r="Q147">
        <v>0</v>
      </c>
      <c r="R147">
        <v>62.25</v>
      </c>
      <c r="S147">
        <v>0</v>
      </c>
      <c r="T147">
        <v>0</v>
      </c>
      <c r="U147">
        <v>3</v>
      </c>
      <c r="V147">
        <v>0</v>
      </c>
      <c r="W147" t="s">
        <v>14</v>
      </c>
      <c r="X147">
        <v>65.25</v>
      </c>
    </row>
    <row r="148" spans="1:24" ht="15">
      <c r="A148">
        <v>141</v>
      </c>
      <c r="B148">
        <v>3673</v>
      </c>
      <c r="C148" t="s">
        <v>436</v>
      </c>
      <c r="D148" t="s">
        <v>75</v>
      </c>
      <c r="E148" t="s">
        <v>437</v>
      </c>
      <c r="F148" t="str">
        <f>"00559843"</f>
        <v>00559843</v>
      </c>
      <c r="G148">
        <v>18.2</v>
      </c>
      <c r="H148">
        <v>0</v>
      </c>
      <c r="I148">
        <v>0</v>
      </c>
      <c r="J148">
        <v>20</v>
      </c>
      <c r="K148">
        <v>20</v>
      </c>
      <c r="M148">
        <v>5</v>
      </c>
      <c r="N148">
        <v>3</v>
      </c>
      <c r="O148">
        <v>8</v>
      </c>
      <c r="P148">
        <v>4</v>
      </c>
      <c r="Q148">
        <v>2</v>
      </c>
      <c r="R148">
        <v>52.2</v>
      </c>
      <c r="S148">
        <v>7</v>
      </c>
      <c r="T148">
        <v>7</v>
      </c>
      <c r="U148">
        <v>6</v>
      </c>
      <c r="V148">
        <v>0</v>
      </c>
      <c r="W148" t="s">
        <v>14</v>
      </c>
      <c r="X148">
        <v>65.2</v>
      </c>
    </row>
    <row r="149" spans="1:24" ht="15">
      <c r="A149">
        <v>142</v>
      </c>
      <c r="B149">
        <v>55626</v>
      </c>
      <c r="C149" t="s">
        <v>438</v>
      </c>
      <c r="D149" t="s">
        <v>439</v>
      </c>
      <c r="E149" t="s">
        <v>215</v>
      </c>
      <c r="F149" t="str">
        <f>"00488897"</f>
        <v>00488897</v>
      </c>
      <c r="G149">
        <v>18.2</v>
      </c>
      <c r="H149">
        <v>0</v>
      </c>
      <c r="I149">
        <v>0</v>
      </c>
      <c r="J149">
        <v>20</v>
      </c>
      <c r="K149">
        <v>20</v>
      </c>
      <c r="N149">
        <v>3</v>
      </c>
      <c r="O149">
        <v>3</v>
      </c>
      <c r="P149">
        <v>4</v>
      </c>
      <c r="Q149">
        <v>2</v>
      </c>
      <c r="R149">
        <v>47.2</v>
      </c>
      <c r="S149">
        <v>15</v>
      </c>
      <c r="T149">
        <v>15</v>
      </c>
      <c r="U149">
        <v>3</v>
      </c>
      <c r="V149">
        <v>0</v>
      </c>
      <c r="W149" t="s">
        <v>14</v>
      </c>
      <c r="X149">
        <v>65.2</v>
      </c>
    </row>
    <row r="150" spans="1:24" ht="15">
      <c r="A150">
        <v>143</v>
      </c>
      <c r="B150">
        <v>3246</v>
      </c>
      <c r="C150" t="s">
        <v>446</v>
      </c>
      <c r="D150" t="s">
        <v>27</v>
      </c>
      <c r="E150" t="s">
        <v>44</v>
      </c>
      <c r="F150" t="str">
        <f>"200712002749"</f>
        <v>200712002749</v>
      </c>
      <c r="G150">
        <v>17.93</v>
      </c>
      <c r="H150">
        <v>0</v>
      </c>
      <c r="I150">
        <v>0</v>
      </c>
      <c r="J150">
        <v>28</v>
      </c>
      <c r="K150">
        <v>28</v>
      </c>
      <c r="L150">
        <v>7</v>
      </c>
      <c r="O150">
        <v>7</v>
      </c>
      <c r="P150">
        <v>4</v>
      </c>
      <c r="Q150">
        <v>2</v>
      </c>
      <c r="R150">
        <v>58.93</v>
      </c>
      <c r="S150">
        <v>0</v>
      </c>
      <c r="T150">
        <v>0</v>
      </c>
      <c r="U150">
        <v>6</v>
      </c>
      <c r="V150">
        <v>0</v>
      </c>
      <c r="W150" t="s">
        <v>14</v>
      </c>
      <c r="X150">
        <v>64.93</v>
      </c>
    </row>
    <row r="151" spans="1:24" ht="15">
      <c r="A151">
        <v>144</v>
      </c>
      <c r="B151">
        <v>36266</v>
      </c>
      <c r="C151" t="s">
        <v>448</v>
      </c>
      <c r="D151" t="s">
        <v>253</v>
      </c>
      <c r="E151" t="s">
        <v>27</v>
      </c>
      <c r="F151" t="str">
        <f>"00206407"</f>
        <v>00206407</v>
      </c>
      <c r="G151">
        <v>18.68</v>
      </c>
      <c r="H151">
        <v>7</v>
      </c>
      <c r="I151">
        <v>0</v>
      </c>
      <c r="J151">
        <v>28</v>
      </c>
      <c r="K151">
        <v>28</v>
      </c>
      <c r="L151">
        <v>7</v>
      </c>
      <c r="O151">
        <v>7</v>
      </c>
      <c r="P151">
        <v>4</v>
      </c>
      <c r="Q151">
        <v>0</v>
      </c>
      <c r="R151">
        <v>64.68</v>
      </c>
      <c r="S151">
        <v>0</v>
      </c>
      <c r="T151">
        <v>0</v>
      </c>
      <c r="U151">
        <v>0</v>
      </c>
      <c r="V151">
        <v>0</v>
      </c>
      <c r="W151" t="s">
        <v>14</v>
      </c>
      <c r="X151">
        <v>64.68</v>
      </c>
    </row>
    <row r="152" spans="1:24" ht="15">
      <c r="A152">
        <v>145</v>
      </c>
      <c r="B152">
        <v>103949</v>
      </c>
      <c r="C152" t="s">
        <v>449</v>
      </c>
      <c r="D152" t="s">
        <v>215</v>
      </c>
      <c r="E152" t="s">
        <v>21</v>
      </c>
      <c r="F152" t="str">
        <f>"201512003069"</f>
        <v>201512003069</v>
      </c>
      <c r="G152">
        <v>16.63</v>
      </c>
      <c r="H152">
        <v>7</v>
      </c>
      <c r="I152">
        <v>0</v>
      </c>
      <c r="J152">
        <v>28</v>
      </c>
      <c r="K152">
        <v>28</v>
      </c>
      <c r="L152">
        <v>7</v>
      </c>
      <c r="O152">
        <v>7</v>
      </c>
      <c r="P152">
        <v>4</v>
      </c>
      <c r="Q152">
        <v>2</v>
      </c>
      <c r="R152">
        <v>64.63</v>
      </c>
      <c r="S152">
        <v>0</v>
      </c>
      <c r="T152">
        <v>0</v>
      </c>
      <c r="U152">
        <v>0</v>
      </c>
      <c r="V152">
        <v>0</v>
      </c>
      <c r="W152" t="s">
        <v>14</v>
      </c>
      <c r="X152">
        <v>64.63</v>
      </c>
    </row>
    <row r="153" spans="1:24" ht="15">
      <c r="A153">
        <v>146</v>
      </c>
      <c r="B153">
        <v>12043</v>
      </c>
      <c r="C153" t="s">
        <v>450</v>
      </c>
      <c r="D153" t="s">
        <v>41</v>
      </c>
      <c r="E153" t="s">
        <v>27</v>
      </c>
      <c r="F153" t="str">
        <f>"201504000604"</f>
        <v>201504000604</v>
      </c>
      <c r="G153">
        <v>18.55</v>
      </c>
      <c r="H153">
        <v>0</v>
      </c>
      <c r="I153">
        <v>0</v>
      </c>
      <c r="J153">
        <v>28</v>
      </c>
      <c r="K153">
        <v>28</v>
      </c>
      <c r="M153">
        <v>5</v>
      </c>
      <c r="N153">
        <v>3</v>
      </c>
      <c r="O153">
        <v>8</v>
      </c>
      <c r="P153">
        <v>4</v>
      </c>
      <c r="Q153">
        <v>0</v>
      </c>
      <c r="R153">
        <v>58.55</v>
      </c>
      <c r="S153">
        <v>0</v>
      </c>
      <c r="T153">
        <v>0</v>
      </c>
      <c r="U153">
        <v>6</v>
      </c>
      <c r="V153">
        <v>0</v>
      </c>
      <c r="W153" t="s">
        <v>14</v>
      </c>
      <c r="X153">
        <v>64.55</v>
      </c>
    </row>
    <row r="154" spans="1:24" ht="15">
      <c r="A154">
        <v>147</v>
      </c>
      <c r="B154">
        <v>85147</v>
      </c>
      <c r="C154" t="s">
        <v>451</v>
      </c>
      <c r="D154" t="s">
        <v>452</v>
      </c>
      <c r="E154" t="s">
        <v>30</v>
      </c>
      <c r="F154" t="str">
        <f>"201504005036"</f>
        <v>201504005036</v>
      </c>
      <c r="G154">
        <v>18.55</v>
      </c>
      <c r="H154">
        <v>0</v>
      </c>
      <c r="I154">
        <v>0</v>
      </c>
      <c r="J154">
        <v>28</v>
      </c>
      <c r="K154">
        <v>28</v>
      </c>
      <c r="L154">
        <v>14</v>
      </c>
      <c r="O154">
        <v>14</v>
      </c>
      <c r="P154">
        <v>4</v>
      </c>
      <c r="Q154">
        <v>0</v>
      </c>
      <c r="R154">
        <v>64.55</v>
      </c>
      <c r="S154">
        <v>0</v>
      </c>
      <c r="T154">
        <v>0</v>
      </c>
      <c r="U154">
        <v>0</v>
      </c>
      <c r="V154">
        <v>0</v>
      </c>
      <c r="W154" t="s">
        <v>14</v>
      </c>
      <c r="X154">
        <v>64.55</v>
      </c>
    </row>
    <row r="155" spans="1:24" ht="15">
      <c r="A155">
        <v>148</v>
      </c>
      <c r="B155">
        <v>19931</v>
      </c>
      <c r="C155" t="s">
        <v>453</v>
      </c>
      <c r="D155" t="s">
        <v>454</v>
      </c>
      <c r="E155" t="s">
        <v>139</v>
      </c>
      <c r="F155" t="str">
        <f>"201402007996"</f>
        <v>201402007996</v>
      </c>
      <c r="G155">
        <v>20.4</v>
      </c>
      <c r="H155">
        <v>0</v>
      </c>
      <c r="I155">
        <v>0</v>
      </c>
      <c r="J155">
        <v>28</v>
      </c>
      <c r="K155">
        <v>28</v>
      </c>
      <c r="L155">
        <v>7</v>
      </c>
      <c r="M155">
        <v>5</v>
      </c>
      <c r="O155">
        <v>12</v>
      </c>
      <c r="P155">
        <v>4</v>
      </c>
      <c r="Q155">
        <v>0</v>
      </c>
      <c r="R155">
        <v>64.4</v>
      </c>
      <c r="S155">
        <v>0</v>
      </c>
      <c r="T155">
        <v>0</v>
      </c>
      <c r="U155">
        <v>0</v>
      </c>
      <c r="V155">
        <v>0</v>
      </c>
      <c r="W155" t="s">
        <v>14</v>
      </c>
      <c r="X155">
        <v>64.4</v>
      </c>
    </row>
    <row r="156" spans="1:24" ht="15">
      <c r="A156">
        <v>149</v>
      </c>
      <c r="B156">
        <v>61911</v>
      </c>
      <c r="C156" t="s">
        <v>455</v>
      </c>
      <c r="D156" t="s">
        <v>442</v>
      </c>
      <c r="E156" t="s">
        <v>124</v>
      </c>
      <c r="F156" t="str">
        <f>"00622492"</f>
        <v>00622492</v>
      </c>
      <c r="G156">
        <v>19.38</v>
      </c>
      <c r="H156">
        <v>0</v>
      </c>
      <c r="I156">
        <v>0</v>
      </c>
      <c r="J156">
        <v>28</v>
      </c>
      <c r="K156">
        <v>28</v>
      </c>
      <c r="L156">
        <v>7</v>
      </c>
      <c r="O156">
        <v>7</v>
      </c>
      <c r="P156">
        <v>4</v>
      </c>
      <c r="Q156">
        <v>0</v>
      </c>
      <c r="R156">
        <v>58.38</v>
      </c>
      <c r="S156">
        <v>0</v>
      </c>
      <c r="T156">
        <v>0</v>
      </c>
      <c r="U156">
        <v>6</v>
      </c>
      <c r="V156">
        <v>0</v>
      </c>
      <c r="W156" t="s">
        <v>14</v>
      </c>
      <c r="X156">
        <v>64.38</v>
      </c>
    </row>
    <row r="157" spans="1:24" ht="15">
      <c r="A157">
        <v>150</v>
      </c>
      <c r="B157">
        <v>70710</v>
      </c>
      <c r="C157" t="s">
        <v>456</v>
      </c>
      <c r="D157" t="s">
        <v>252</v>
      </c>
      <c r="E157" t="s">
        <v>30</v>
      </c>
      <c r="F157" t="str">
        <f>"200802007276"</f>
        <v>200802007276</v>
      </c>
      <c r="G157">
        <v>18.25</v>
      </c>
      <c r="H157">
        <v>0</v>
      </c>
      <c r="I157">
        <v>0</v>
      </c>
      <c r="J157">
        <v>28</v>
      </c>
      <c r="K157">
        <v>28</v>
      </c>
      <c r="N157">
        <v>3</v>
      </c>
      <c r="O157">
        <v>3</v>
      </c>
      <c r="P157">
        <v>4</v>
      </c>
      <c r="Q157">
        <v>2</v>
      </c>
      <c r="R157">
        <v>55.25</v>
      </c>
      <c r="S157">
        <v>9</v>
      </c>
      <c r="T157">
        <v>9</v>
      </c>
      <c r="U157">
        <v>0</v>
      </c>
      <c r="V157">
        <v>0</v>
      </c>
      <c r="W157" t="s">
        <v>14</v>
      </c>
      <c r="X157">
        <v>64.25</v>
      </c>
    </row>
    <row r="158" spans="1:24" ht="15">
      <c r="A158">
        <v>151</v>
      </c>
      <c r="B158">
        <v>11389</v>
      </c>
      <c r="C158" t="s">
        <v>457</v>
      </c>
      <c r="D158" t="s">
        <v>153</v>
      </c>
      <c r="E158" t="s">
        <v>44</v>
      </c>
      <c r="F158" t="str">
        <f>"00435555"</f>
        <v>00435555</v>
      </c>
      <c r="G158">
        <v>17.25</v>
      </c>
      <c r="H158">
        <v>0</v>
      </c>
      <c r="I158">
        <v>0</v>
      </c>
      <c r="J158">
        <v>28</v>
      </c>
      <c r="K158">
        <v>28</v>
      </c>
      <c r="N158">
        <v>3</v>
      </c>
      <c r="O158">
        <v>3</v>
      </c>
      <c r="P158">
        <v>4</v>
      </c>
      <c r="Q158">
        <v>2</v>
      </c>
      <c r="R158">
        <v>54.25</v>
      </c>
      <c r="S158">
        <v>10</v>
      </c>
      <c r="T158">
        <v>10</v>
      </c>
      <c r="U158">
        <v>0</v>
      </c>
      <c r="V158">
        <v>0</v>
      </c>
      <c r="W158" t="s">
        <v>14</v>
      </c>
      <c r="X158">
        <v>64.25</v>
      </c>
    </row>
    <row r="159" spans="1:24" ht="15">
      <c r="A159">
        <v>152</v>
      </c>
      <c r="B159">
        <v>79594</v>
      </c>
      <c r="C159" t="s">
        <v>464</v>
      </c>
      <c r="D159" t="s">
        <v>41</v>
      </c>
      <c r="E159" t="s">
        <v>465</v>
      </c>
      <c r="F159" t="str">
        <f>"00434612"</f>
        <v>00434612</v>
      </c>
      <c r="G159">
        <v>16.1</v>
      </c>
      <c r="H159">
        <v>7</v>
      </c>
      <c r="I159">
        <v>0</v>
      </c>
      <c r="J159">
        <v>28</v>
      </c>
      <c r="K159">
        <v>28</v>
      </c>
      <c r="N159">
        <v>3</v>
      </c>
      <c r="O159">
        <v>3</v>
      </c>
      <c r="P159">
        <v>4</v>
      </c>
      <c r="Q159">
        <v>0</v>
      </c>
      <c r="R159">
        <v>58.1</v>
      </c>
      <c r="S159">
        <v>0</v>
      </c>
      <c r="T159">
        <v>0</v>
      </c>
      <c r="U159">
        <v>6</v>
      </c>
      <c r="V159">
        <v>0</v>
      </c>
      <c r="W159" t="s">
        <v>14</v>
      </c>
      <c r="X159">
        <v>64.1</v>
      </c>
    </row>
    <row r="160" spans="1:24" ht="15">
      <c r="A160">
        <v>153</v>
      </c>
      <c r="B160">
        <v>28768</v>
      </c>
      <c r="C160" t="s">
        <v>468</v>
      </c>
      <c r="D160" t="s">
        <v>75</v>
      </c>
      <c r="E160" t="s">
        <v>469</v>
      </c>
      <c r="F160" t="str">
        <f>"200801006644"</f>
        <v>200801006644</v>
      </c>
      <c r="G160">
        <v>18.03</v>
      </c>
      <c r="H160">
        <v>0</v>
      </c>
      <c r="I160">
        <v>0</v>
      </c>
      <c r="J160">
        <v>28</v>
      </c>
      <c r="K160">
        <v>28</v>
      </c>
      <c r="L160">
        <v>7</v>
      </c>
      <c r="N160">
        <v>3</v>
      </c>
      <c r="O160">
        <v>10</v>
      </c>
      <c r="P160">
        <v>4</v>
      </c>
      <c r="Q160">
        <v>2</v>
      </c>
      <c r="R160">
        <v>62.03</v>
      </c>
      <c r="S160">
        <v>2</v>
      </c>
      <c r="T160">
        <v>2</v>
      </c>
      <c r="U160">
        <v>0</v>
      </c>
      <c r="V160">
        <v>0</v>
      </c>
      <c r="W160" t="s">
        <v>14</v>
      </c>
      <c r="X160">
        <v>64.03</v>
      </c>
    </row>
    <row r="161" spans="1:24" ht="15">
      <c r="A161">
        <v>154</v>
      </c>
      <c r="B161">
        <v>42215</v>
      </c>
      <c r="C161" t="s">
        <v>470</v>
      </c>
      <c r="D161" t="s">
        <v>168</v>
      </c>
      <c r="E161" t="s">
        <v>139</v>
      </c>
      <c r="F161" t="str">
        <f>"00598657"</f>
        <v>00598657</v>
      </c>
      <c r="G161">
        <v>19.9</v>
      </c>
      <c r="H161">
        <v>0</v>
      </c>
      <c r="I161">
        <v>0</v>
      </c>
      <c r="J161">
        <v>28</v>
      </c>
      <c r="K161">
        <v>28</v>
      </c>
      <c r="L161">
        <v>7</v>
      </c>
      <c r="M161">
        <v>5</v>
      </c>
      <c r="O161">
        <v>12</v>
      </c>
      <c r="P161">
        <v>4</v>
      </c>
      <c r="Q161">
        <v>0</v>
      </c>
      <c r="R161">
        <v>63.9</v>
      </c>
      <c r="S161">
        <v>0</v>
      </c>
      <c r="T161">
        <v>0</v>
      </c>
      <c r="U161">
        <v>0</v>
      </c>
      <c r="V161">
        <v>0</v>
      </c>
      <c r="W161" t="s">
        <v>14</v>
      </c>
      <c r="X161">
        <v>63.9</v>
      </c>
    </row>
    <row r="162" spans="1:24" ht="15">
      <c r="A162">
        <v>155</v>
      </c>
      <c r="B162">
        <v>34724</v>
      </c>
      <c r="C162" t="s">
        <v>471</v>
      </c>
      <c r="D162" t="s">
        <v>472</v>
      </c>
      <c r="E162" t="s">
        <v>30</v>
      </c>
      <c r="F162" t="str">
        <f>"00599028"</f>
        <v>00599028</v>
      </c>
      <c r="G162">
        <v>20.85</v>
      </c>
      <c r="H162">
        <v>0</v>
      </c>
      <c r="I162">
        <v>0</v>
      </c>
      <c r="J162">
        <v>28</v>
      </c>
      <c r="K162">
        <v>28</v>
      </c>
      <c r="M162">
        <v>5</v>
      </c>
      <c r="N162">
        <v>3</v>
      </c>
      <c r="O162">
        <v>8</v>
      </c>
      <c r="P162">
        <v>4</v>
      </c>
      <c r="Q162">
        <v>0</v>
      </c>
      <c r="R162">
        <v>60.85</v>
      </c>
      <c r="S162">
        <v>3</v>
      </c>
      <c r="T162">
        <v>3</v>
      </c>
      <c r="U162">
        <v>0</v>
      </c>
      <c r="V162">
        <v>0</v>
      </c>
      <c r="W162" t="s">
        <v>14</v>
      </c>
      <c r="X162">
        <v>63.85</v>
      </c>
    </row>
    <row r="163" spans="1:24" ht="15">
      <c r="A163">
        <v>156</v>
      </c>
      <c r="B163">
        <v>31792</v>
      </c>
      <c r="C163" t="s">
        <v>482</v>
      </c>
      <c r="D163" t="s">
        <v>75</v>
      </c>
      <c r="E163" t="s">
        <v>201</v>
      </c>
      <c r="F163" t="str">
        <f>"00624564"</f>
        <v>00624564</v>
      </c>
      <c r="G163">
        <v>21.6</v>
      </c>
      <c r="H163">
        <v>7</v>
      </c>
      <c r="I163">
        <v>0</v>
      </c>
      <c r="J163">
        <v>28</v>
      </c>
      <c r="K163">
        <v>28</v>
      </c>
      <c r="N163">
        <v>3</v>
      </c>
      <c r="O163">
        <v>3</v>
      </c>
      <c r="P163">
        <v>4</v>
      </c>
      <c r="Q163">
        <v>0</v>
      </c>
      <c r="R163">
        <v>63.6</v>
      </c>
      <c r="S163">
        <v>0</v>
      </c>
      <c r="T163">
        <v>0</v>
      </c>
      <c r="U163">
        <v>0</v>
      </c>
      <c r="V163">
        <v>0</v>
      </c>
      <c r="W163" t="s">
        <v>14</v>
      </c>
      <c r="X163">
        <v>63.6</v>
      </c>
    </row>
    <row r="164" spans="1:24" ht="15">
      <c r="A164">
        <v>157</v>
      </c>
      <c r="B164">
        <v>113077</v>
      </c>
      <c r="C164" t="s">
        <v>485</v>
      </c>
      <c r="D164" t="s">
        <v>23</v>
      </c>
      <c r="E164" t="s">
        <v>486</v>
      </c>
      <c r="F164" t="str">
        <f>"00643295"</f>
        <v>00643295</v>
      </c>
      <c r="G164">
        <v>17.53</v>
      </c>
      <c r="H164">
        <v>0</v>
      </c>
      <c r="I164">
        <v>0</v>
      </c>
      <c r="J164">
        <v>28</v>
      </c>
      <c r="K164">
        <v>28</v>
      </c>
      <c r="N164">
        <v>3</v>
      </c>
      <c r="O164">
        <v>3</v>
      </c>
      <c r="P164">
        <v>4</v>
      </c>
      <c r="Q164">
        <v>2</v>
      </c>
      <c r="R164">
        <v>54.53</v>
      </c>
      <c r="S164">
        <v>0</v>
      </c>
      <c r="T164">
        <v>0</v>
      </c>
      <c r="U164">
        <v>9</v>
      </c>
      <c r="V164">
        <v>0</v>
      </c>
      <c r="W164" t="s">
        <v>14</v>
      </c>
      <c r="X164">
        <v>63.53</v>
      </c>
    </row>
    <row r="165" spans="1:24" ht="15">
      <c r="A165">
        <v>158</v>
      </c>
      <c r="B165">
        <v>22231</v>
      </c>
      <c r="C165" t="s">
        <v>488</v>
      </c>
      <c r="D165" t="s">
        <v>296</v>
      </c>
      <c r="E165" t="s">
        <v>95</v>
      </c>
      <c r="F165" t="str">
        <f>"00600944"</f>
        <v>00600944</v>
      </c>
      <c r="G165">
        <v>17.5</v>
      </c>
      <c r="H165">
        <v>0</v>
      </c>
      <c r="I165">
        <v>0</v>
      </c>
      <c r="J165">
        <v>28</v>
      </c>
      <c r="K165">
        <v>28</v>
      </c>
      <c r="N165">
        <v>6</v>
      </c>
      <c r="O165">
        <v>6</v>
      </c>
      <c r="P165">
        <v>4</v>
      </c>
      <c r="Q165">
        <v>2</v>
      </c>
      <c r="R165">
        <v>57.5</v>
      </c>
      <c r="S165">
        <v>0</v>
      </c>
      <c r="T165">
        <v>0</v>
      </c>
      <c r="U165">
        <v>6</v>
      </c>
      <c r="V165">
        <v>0</v>
      </c>
      <c r="W165" t="s">
        <v>14</v>
      </c>
      <c r="X165">
        <v>63.5</v>
      </c>
    </row>
    <row r="166" spans="1:24" ht="15">
      <c r="A166">
        <v>159</v>
      </c>
      <c r="B166">
        <v>81608</v>
      </c>
      <c r="C166" t="s">
        <v>489</v>
      </c>
      <c r="D166" t="s">
        <v>29</v>
      </c>
      <c r="E166" t="s">
        <v>27</v>
      </c>
      <c r="F166" t="str">
        <f>"201406000585"</f>
        <v>201406000585</v>
      </c>
      <c r="G166">
        <v>19.43</v>
      </c>
      <c r="H166">
        <v>0</v>
      </c>
      <c r="I166">
        <v>0</v>
      </c>
      <c r="J166">
        <v>28</v>
      </c>
      <c r="K166">
        <v>28</v>
      </c>
      <c r="L166">
        <v>7</v>
      </c>
      <c r="O166">
        <v>7</v>
      </c>
      <c r="P166">
        <v>4</v>
      </c>
      <c r="Q166">
        <v>0</v>
      </c>
      <c r="R166">
        <v>58.43</v>
      </c>
      <c r="S166">
        <v>2</v>
      </c>
      <c r="T166">
        <v>2</v>
      </c>
      <c r="U166">
        <v>3</v>
      </c>
      <c r="V166">
        <v>0</v>
      </c>
      <c r="W166" t="s">
        <v>14</v>
      </c>
      <c r="X166">
        <v>63.43</v>
      </c>
    </row>
    <row r="167" spans="1:24" ht="15">
      <c r="A167">
        <v>160</v>
      </c>
      <c r="B167">
        <v>34761</v>
      </c>
      <c r="C167" t="s">
        <v>468</v>
      </c>
      <c r="D167" t="s">
        <v>153</v>
      </c>
      <c r="E167" t="s">
        <v>12</v>
      </c>
      <c r="F167" t="str">
        <f>"00571926"</f>
        <v>00571926</v>
      </c>
      <c r="G167">
        <v>19.2</v>
      </c>
      <c r="H167">
        <v>0</v>
      </c>
      <c r="I167">
        <v>0</v>
      </c>
      <c r="J167">
        <v>20</v>
      </c>
      <c r="K167">
        <v>20</v>
      </c>
      <c r="L167">
        <v>7</v>
      </c>
      <c r="N167">
        <v>3</v>
      </c>
      <c r="O167">
        <v>10</v>
      </c>
      <c r="P167">
        <v>4</v>
      </c>
      <c r="Q167">
        <v>0</v>
      </c>
      <c r="R167">
        <v>53.2</v>
      </c>
      <c r="S167">
        <v>1</v>
      </c>
      <c r="T167">
        <v>1</v>
      </c>
      <c r="U167">
        <v>9</v>
      </c>
      <c r="V167">
        <v>0</v>
      </c>
      <c r="W167" t="s">
        <v>14</v>
      </c>
      <c r="X167">
        <v>63.2</v>
      </c>
    </row>
    <row r="168" spans="1:24" ht="15">
      <c r="A168">
        <v>161</v>
      </c>
      <c r="B168">
        <v>33024</v>
      </c>
      <c r="C168" t="s">
        <v>490</v>
      </c>
      <c r="D168" t="s">
        <v>370</v>
      </c>
      <c r="E168" t="s">
        <v>23</v>
      </c>
      <c r="F168" t="str">
        <f>"00520924"</f>
        <v>00520924</v>
      </c>
      <c r="G168">
        <v>17.2</v>
      </c>
      <c r="H168">
        <v>0</v>
      </c>
      <c r="I168">
        <v>0</v>
      </c>
      <c r="J168">
        <v>28</v>
      </c>
      <c r="K168">
        <v>28</v>
      </c>
      <c r="L168">
        <v>14</v>
      </c>
      <c r="O168">
        <v>14</v>
      </c>
      <c r="P168">
        <v>4</v>
      </c>
      <c r="Q168">
        <v>0</v>
      </c>
      <c r="R168">
        <v>63.2</v>
      </c>
      <c r="S168">
        <v>0</v>
      </c>
      <c r="T168">
        <v>0</v>
      </c>
      <c r="U168">
        <v>0</v>
      </c>
      <c r="V168">
        <v>0</v>
      </c>
      <c r="W168" t="s">
        <v>14</v>
      </c>
      <c r="X168">
        <v>63.2</v>
      </c>
    </row>
    <row r="169" spans="1:24" ht="15">
      <c r="A169">
        <v>162</v>
      </c>
      <c r="B169">
        <v>101160</v>
      </c>
      <c r="C169" t="s">
        <v>494</v>
      </c>
      <c r="D169" t="s">
        <v>50</v>
      </c>
      <c r="E169" t="s">
        <v>375</v>
      </c>
      <c r="F169" t="str">
        <f>"00485887"</f>
        <v>00485887</v>
      </c>
      <c r="G169">
        <v>22.15</v>
      </c>
      <c r="H169">
        <v>7</v>
      </c>
      <c r="I169">
        <v>0</v>
      </c>
      <c r="J169">
        <v>28</v>
      </c>
      <c r="K169">
        <v>28</v>
      </c>
      <c r="O169">
        <v>0</v>
      </c>
      <c r="P169">
        <v>4</v>
      </c>
      <c r="Q169">
        <v>2</v>
      </c>
      <c r="R169">
        <v>63.15</v>
      </c>
      <c r="S169">
        <v>0</v>
      </c>
      <c r="T169">
        <v>0</v>
      </c>
      <c r="U169">
        <v>0</v>
      </c>
      <c r="V169">
        <v>0</v>
      </c>
      <c r="W169" t="s">
        <v>14</v>
      </c>
      <c r="X169">
        <v>63.15</v>
      </c>
    </row>
    <row r="170" spans="1:24" ht="15">
      <c r="A170">
        <v>163</v>
      </c>
      <c r="B170">
        <v>74543</v>
      </c>
      <c r="C170" t="s">
        <v>495</v>
      </c>
      <c r="D170" t="s">
        <v>17</v>
      </c>
      <c r="E170" t="s">
        <v>21</v>
      </c>
      <c r="F170" t="str">
        <f>"00643853"</f>
        <v>00643853</v>
      </c>
      <c r="G170">
        <v>17.13</v>
      </c>
      <c r="H170">
        <v>7</v>
      </c>
      <c r="I170">
        <v>0</v>
      </c>
      <c r="J170">
        <v>20</v>
      </c>
      <c r="K170">
        <v>20</v>
      </c>
      <c r="O170">
        <v>0</v>
      </c>
      <c r="P170">
        <v>4</v>
      </c>
      <c r="Q170">
        <v>0</v>
      </c>
      <c r="R170">
        <v>48.13</v>
      </c>
      <c r="S170">
        <v>6</v>
      </c>
      <c r="T170">
        <v>6</v>
      </c>
      <c r="U170">
        <v>9</v>
      </c>
      <c r="V170">
        <v>0</v>
      </c>
      <c r="W170" t="s">
        <v>14</v>
      </c>
      <c r="X170">
        <v>63.13</v>
      </c>
    </row>
    <row r="171" spans="1:24" ht="15">
      <c r="A171">
        <v>164</v>
      </c>
      <c r="B171">
        <v>38277</v>
      </c>
      <c r="C171" t="s">
        <v>496</v>
      </c>
      <c r="D171" t="s">
        <v>201</v>
      </c>
      <c r="E171" t="s">
        <v>53</v>
      </c>
      <c r="F171" t="str">
        <f>"00628628"</f>
        <v>00628628</v>
      </c>
      <c r="G171">
        <v>22.13</v>
      </c>
      <c r="H171">
        <v>7</v>
      </c>
      <c r="I171">
        <v>0</v>
      </c>
      <c r="J171">
        <v>20</v>
      </c>
      <c r="K171">
        <v>20</v>
      </c>
      <c r="L171">
        <v>7</v>
      </c>
      <c r="N171">
        <v>3</v>
      </c>
      <c r="O171">
        <v>10</v>
      </c>
      <c r="P171">
        <v>4</v>
      </c>
      <c r="Q171">
        <v>0</v>
      </c>
      <c r="R171">
        <v>63.13</v>
      </c>
      <c r="S171">
        <v>0</v>
      </c>
      <c r="T171">
        <v>0</v>
      </c>
      <c r="U171">
        <v>0</v>
      </c>
      <c r="V171">
        <v>0</v>
      </c>
      <c r="W171" t="s">
        <v>14</v>
      </c>
      <c r="X171">
        <v>63.13</v>
      </c>
    </row>
    <row r="172" spans="1:24" ht="15">
      <c r="A172">
        <v>165</v>
      </c>
      <c r="B172">
        <v>57885</v>
      </c>
      <c r="C172" t="s">
        <v>499</v>
      </c>
      <c r="D172" t="s">
        <v>500</v>
      </c>
      <c r="E172" t="s">
        <v>501</v>
      </c>
      <c r="F172" t="str">
        <f>"200908000422"</f>
        <v>200908000422</v>
      </c>
      <c r="G172">
        <v>17.03</v>
      </c>
      <c r="H172">
        <v>0</v>
      </c>
      <c r="I172">
        <v>0</v>
      </c>
      <c r="J172">
        <v>20</v>
      </c>
      <c r="K172">
        <v>20</v>
      </c>
      <c r="L172">
        <v>14</v>
      </c>
      <c r="O172">
        <v>14</v>
      </c>
      <c r="P172">
        <v>4</v>
      </c>
      <c r="Q172">
        <v>2</v>
      </c>
      <c r="R172">
        <v>57.03</v>
      </c>
      <c r="S172">
        <v>0</v>
      </c>
      <c r="T172">
        <v>0</v>
      </c>
      <c r="U172">
        <v>6</v>
      </c>
      <c r="V172">
        <v>0</v>
      </c>
      <c r="W172" t="s">
        <v>14</v>
      </c>
      <c r="X172">
        <v>63.03</v>
      </c>
    </row>
    <row r="173" spans="1:24" ht="15">
      <c r="A173">
        <v>166</v>
      </c>
      <c r="B173">
        <v>104826</v>
      </c>
      <c r="C173" t="s">
        <v>506</v>
      </c>
      <c r="D173" t="s">
        <v>135</v>
      </c>
      <c r="E173" t="s">
        <v>507</v>
      </c>
      <c r="F173" t="str">
        <f>"00618763"</f>
        <v>00618763</v>
      </c>
      <c r="G173">
        <v>17.88</v>
      </c>
      <c r="H173">
        <v>0</v>
      </c>
      <c r="I173">
        <v>0</v>
      </c>
      <c r="J173">
        <v>0</v>
      </c>
      <c r="K173">
        <v>0</v>
      </c>
      <c r="N173">
        <v>3</v>
      </c>
      <c r="O173">
        <v>3</v>
      </c>
      <c r="P173">
        <v>4</v>
      </c>
      <c r="Q173">
        <v>0</v>
      </c>
      <c r="R173">
        <v>24.88</v>
      </c>
      <c r="S173">
        <v>38</v>
      </c>
      <c r="T173">
        <v>38</v>
      </c>
      <c r="U173">
        <v>0</v>
      </c>
      <c r="V173">
        <v>0</v>
      </c>
      <c r="W173" t="s">
        <v>14</v>
      </c>
      <c r="X173">
        <v>62.88</v>
      </c>
    </row>
    <row r="174" spans="1:24" ht="15">
      <c r="A174">
        <v>167</v>
      </c>
      <c r="B174">
        <v>115115</v>
      </c>
      <c r="C174" t="s">
        <v>508</v>
      </c>
      <c r="D174" t="s">
        <v>173</v>
      </c>
      <c r="E174" t="s">
        <v>135</v>
      </c>
      <c r="F174" t="str">
        <f>"00651741"</f>
        <v>00651741</v>
      </c>
      <c r="G174">
        <v>20.85</v>
      </c>
      <c r="H174">
        <v>7</v>
      </c>
      <c r="I174">
        <v>0</v>
      </c>
      <c r="J174">
        <v>28</v>
      </c>
      <c r="K174">
        <v>28</v>
      </c>
      <c r="L174">
        <v>7</v>
      </c>
      <c r="O174">
        <v>7</v>
      </c>
      <c r="P174">
        <v>0</v>
      </c>
      <c r="Q174">
        <v>0</v>
      </c>
      <c r="R174">
        <v>62.85</v>
      </c>
      <c r="S174">
        <v>0</v>
      </c>
      <c r="T174">
        <v>0</v>
      </c>
      <c r="U174">
        <v>0</v>
      </c>
      <c r="V174">
        <v>0</v>
      </c>
      <c r="W174" t="s">
        <v>14</v>
      </c>
      <c r="X174">
        <v>62.85</v>
      </c>
    </row>
    <row r="175" spans="1:24" ht="15">
      <c r="A175">
        <v>168</v>
      </c>
      <c r="B175">
        <v>74184</v>
      </c>
      <c r="C175" t="s">
        <v>509</v>
      </c>
      <c r="D175" t="s">
        <v>80</v>
      </c>
      <c r="E175" t="s">
        <v>44</v>
      </c>
      <c r="F175" t="str">
        <f>"201603000417"</f>
        <v>201603000417</v>
      </c>
      <c r="G175">
        <v>16.8</v>
      </c>
      <c r="H175">
        <v>0</v>
      </c>
      <c r="I175">
        <v>0</v>
      </c>
      <c r="J175">
        <v>28</v>
      </c>
      <c r="K175">
        <v>28</v>
      </c>
      <c r="M175">
        <v>5</v>
      </c>
      <c r="O175">
        <v>5</v>
      </c>
      <c r="P175">
        <v>4</v>
      </c>
      <c r="Q175">
        <v>0</v>
      </c>
      <c r="R175">
        <v>53.8</v>
      </c>
      <c r="S175">
        <v>0</v>
      </c>
      <c r="T175">
        <v>0</v>
      </c>
      <c r="U175">
        <v>9</v>
      </c>
      <c r="V175">
        <v>0</v>
      </c>
      <c r="W175" t="s">
        <v>14</v>
      </c>
      <c r="X175">
        <v>62.8</v>
      </c>
    </row>
    <row r="176" spans="1:24" ht="15">
      <c r="A176">
        <v>169</v>
      </c>
      <c r="B176">
        <v>103257</v>
      </c>
      <c r="C176" t="s">
        <v>510</v>
      </c>
      <c r="D176" t="s">
        <v>153</v>
      </c>
      <c r="E176" t="s">
        <v>30</v>
      </c>
      <c r="F176" t="str">
        <f>"201512002333"</f>
        <v>201512002333</v>
      </c>
      <c r="G176">
        <v>16.8</v>
      </c>
      <c r="H176">
        <v>0</v>
      </c>
      <c r="I176">
        <v>0</v>
      </c>
      <c r="J176">
        <v>28</v>
      </c>
      <c r="K176">
        <v>28</v>
      </c>
      <c r="L176">
        <v>7</v>
      </c>
      <c r="M176">
        <v>5</v>
      </c>
      <c r="O176">
        <v>12</v>
      </c>
      <c r="P176">
        <v>4</v>
      </c>
      <c r="Q176">
        <v>2</v>
      </c>
      <c r="R176">
        <v>62.8</v>
      </c>
      <c r="S176">
        <v>0</v>
      </c>
      <c r="T176">
        <v>0</v>
      </c>
      <c r="U176">
        <v>0</v>
      </c>
      <c r="V176">
        <v>0</v>
      </c>
      <c r="W176" t="s">
        <v>14</v>
      </c>
      <c r="X176">
        <v>62.8</v>
      </c>
    </row>
    <row r="177" spans="1:24" ht="15">
      <c r="A177">
        <v>170</v>
      </c>
      <c r="B177">
        <v>9970</v>
      </c>
      <c r="C177" t="s">
        <v>515</v>
      </c>
      <c r="D177" t="s">
        <v>20</v>
      </c>
      <c r="E177" t="s">
        <v>516</v>
      </c>
      <c r="F177" t="str">
        <f>"00521766"</f>
        <v>00521766</v>
      </c>
      <c r="G177">
        <v>16.7</v>
      </c>
      <c r="H177">
        <v>7</v>
      </c>
      <c r="I177">
        <v>0</v>
      </c>
      <c r="J177">
        <v>20</v>
      </c>
      <c r="K177">
        <v>20</v>
      </c>
      <c r="N177">
        <v>3</v>
      </c>
      <c r="O177">
        <v>3</v>
      </c>
      <c r="P177">
        <v>0</v>
      </c>
      <c r="Q177">
        <v>0</v>
      </c>
      <c r="R177">
        <v>46.7</v>
      </c>
      <c r="S177">
        <v>16</v>
      </c>
      <c r="T177">
        <v>16</v>
      </c>
      <c r="U177">
        <v>0</v>
      </c>
      <c r="V177">
        <v>0</v>
      </c>
      <c r="W177" t="s">
        <v>14</v>
      </c>
      <c r="X177">
        <v>62.7</v>
      </c>
    </row>
    <row r="178" spans="1:24" ht="15">
      <c r="A178">
        <v>171</v>
      </c>
      <c r="B178">
        <v>3317</v>
      </c>
      <c r="C178" t="s">
        <v>521</v>
      </c>
      <c r="D178" t="s">
        <v>41</v>
      </c>
      <c r="E178" t="s">
        <v>522</v>
      </c>
      <c r="F178" t="str">
        <f>"00196706"</f>
        <v>00196706</v>
      </c>
      <c r="G178">
        <v>18.53</v>
      </c>
      <c r="H178">
        <v>0</v>
      </c>
      <c r="I178">
        <v>0</v>
      </c>
      <c r="J178">
        <v>28</v>
      </c>
      <c r="K178">
        <v>28</v>
      </c>
      <c r="N178">
        <v>3</v>
      </c>
      <c r="O178">
        <v>3</v>
      </c>
      <c r="P178">
        <v>4</v>
      </c>
      <c r="Q178">
        <v>2</v>
      </c>
      <c r="R178">
        <v>55.53</v>
      </c>
      <c r="S178">
        <v>1</v>
      </c>
      <c r="T178">
        <v>1</v>
      </c>
      <c r="U178">
        <v>6</v>
      </c>
      <c r="V178">
        <v>0</v>
      </c>
      <c r="W178" t="s">
        <v>14</v>
      </c>
      <c r="X178">
        <v>62.53</v>
      </c>
    </row>
    <row r="179" spans="1:24" ht="15">
      <c r="A179">
        <v>172</v>
      </c>
      <c r="B179">
        <v>97340</v>
      </c>
      <c r="C179" t="s">
        <v>524</v>
      </c>
      <c r="D179" t="s">
        <v>403</v>
      </c>
      <c r="E179" t="s">
        <v>12</v>
      </c>
      <c r="F179" t="str">
        <f>"00027798"</f>
        <v>00027798</v>
      </c>
      <c r="G179">
        <v>15.43</v>
      </c>
      <c r="H179">
        <v>7</v>
      </c>
      <c r="I179">
        <v>0</v>
      </c>
      <c r="J179">
        <v>20</v>
      </c>
      <c r="K179">
        <v>20</v>
      </c>
      <c r="L179">
        <v>14</v>
      </c>
      <c r="O179">
        <v>14</v>
      </c>
      <c r="P179">
        <v>4</v>
      </c>
      <c r="Q179">
        <v>2</v>
      </c>
      <c r="R179">
        <v>62.43</v>
      </c>
      <c r="S179">
        <v>0</v>
      </c>
      <c r="T179">
        <v>0</v>
      </c>
      <c r="U179">
        <v>0</v>
      </c>
      <c r="V179">
        <v>0</v>
      </c>
      <c r="W179" t="s">
        <v>14</v>
      </c>
      <c r="X179">
        <v>62.43</v>
      </c>
    </row>
    <row r="180" spans="1:24" ht="15">
      <c r="A180">
        <v>173</v>
      </c>
      <c r="B180">
        <v>61278</v>
      </c>
      <c r="C180" t="s">
        <v>286</v>
      </c>
      <c r="D180" t="s">
        <v>16</v>
      </c>
      <c r="E180" t="s">
        <v>397</v>
      </c>
      <c r="F180" t="str">
        <f>"201406013988"</f>
        <v>201406013988</v>
      </c>
      <c r="G180">
        <v>18.35</v>
      </c>
      <c r="H180">
        <v>7</v>
      </c>
      <c r="I180">
        <v>0</v>
      </c>
      <c r="J180">
        <v>28</v>
      </c>
      <c r="K180">
        <v>28</v>
      </c>
      <c r="L180">
        <v>7</v>
      </c>
      <c r="O180">
        <v>7</v>
      </c>
      <c r="P180">
        <v>0</v>
      </c>
      <c r="Q180">
        <v>2</v>
      </c>
      <c r="R180">
        <v>62.35</v>
      </c>
      <c r="S180">
        <v>0</v>
      </c>
      <c r="T180">
        <v>0</v>
      </c>
      <c r="U180">
        <v>0</v>
      </c>
      <c r="V180">
        <v>0</v>
      </c>
      <c r="W180" t="s">
        <v>14</v>
      </c>
      <c r="X180">
        <v>62.35</v>
      </c>
    </row>
    <row r="181" spans="1:24" ht="15">
      <c r="A181">
        <v>174</v>
      </c>
      <c r="B181">
        <v>87758</v>
      </c>
      <c r="C181" t="s">
        <v>525</v>
      </c>
      <c r="D181" t="s">
        <v>37</v>
      </c>
      <c r="E181" t="s">
        <v>135</v>
      </c>
      <c r="F181" t="str">
        <f>"200802002685"</f>
        <v>200802002685</v>
      </c>
      <c r="G181">
        <v>17.33</v>
      </c>
      <c r="H181">
        <v>0</v>
      </c>
      <c r="I181">
        <v>0</v>
      </c>
      <c r="J181">
        <v>28</v>
      </c>
      <c r="K181">
        <v>28</v>
      </c>
      <c r="L181">
        <v>7</v>
      </c>
      <c r="O181">
        <v>7</v>
      </c>
      <c r="P181">
        <v>4</v>
      </c>
      <c r="Q181">
        <v>0</v>
      </c>
      <c r="R181">
        <v>56.33</v>
      </c>
      <c r="S181">
        <v>0</v>
      </c>
      <c r="T181">
        <v>0</v>
      </c>
      <c r="U181">
        <v>6</v>
      </c>
      <c r="V181">
        <v>0</v>
      </c>
      <c r="W181" t="s">
        <v>14</v>
      </c>
      <c r="X181">
        <v>62.33</v>
      </c>
    </row>
    <row r="182" spans="1:24" ht="15">
      <c r="A182">
        <v>175</v>
      </c>
      <c r="B182">
        <v>72816</v>
      </c>
      <c r="C182" t="s">
        <v>530</v>
      </c>
      <c r="D182" t="s">
        <v>153</v>
      </c>
      <c r="E182" t="s">
        <v>109</v>
      </c>
      <c r="F182" t="str">
        <f>"00186010"</f>
        <v>00186010</v>
      </c>
      <c r="G182">
        <v>18.25</v>
      </c>
      <c r="H182">
        <v>0</v>
      </c>
      <c r="I182">
        <v>0</v>
      </c>
      <c r="J182">
        <v>28</v>
      </c>
      <c r="K182">
        <v>28</v>
      </c>
      <c r="L182">
        <v>7</v>
      </c>
      <c r="M182">
        <v>5</v>
      </c>
      <c r="O182">
        <v>12</v>
      </c>
      <c r="P182">
        <v>4</v>
      </c>
      <c r="Q182">
        <v>0</v>
      </c>
      <c r="R182">
        <v>62.25</v>
      </c>
      <c r="S182">
        <v>0</v>
      </c>
      <c r="T182">
        <v>0</v>
      </c>
      <c r="U182">
        <v>0</v>
      </c>
      <c r="V182">
        <v>0</v>
      </c>
      <c r="W182" t="s">
        <v>14</v>
      </c>
      <c r="X182">
        <v>62.25</v>
      </c>
    </row>
    <row r="183" spans="1:24" ht="15">
      <c r="A183">
        <v>176</v>
      </c>
      <c r="B183">
        <v>6823</v>
      </c>
      <c r="C183" t="s">
        <v>533</v>
      </c>
      <c r="D183" t="s">
        <v>534</v>
      </c>
      <c r="E183" t="s">
        <v>17</v>
      </c>
      <c r="F183" t="str">
        <f>"00340200"</f>
        <v>00340200</v>
      </c>
      <c r="G183">
        <v>15.08</v>
      </c>
      <c r="H183">
        <v>0</v>
      </c>
      <c r="I183">
        <v>0</v>
      </c>
      <c r="J183">
        <v>0</v>
      </c>
      <c r="K183">
        <v>0</v>
      </c>
      <c r="O183">
        <v>0</v>
      </c>
      <c r="P183">
        <v>4</v>
      </c>
      <c r="Q183">
        <v>0</v>
      </c>
      <c r="R183">
        <v>19.08</v>
      </c>
      <c r="S183">
        <v>40</v>
      </c>
      <c r="T183">
        <v>40</v>
      </c>
      <c r="U183">
        <v>3</v>
      </c>
      <c r="V183">
        <v>0</v>
      </c>
      <c r="W183" t="s">
        <v>14</v>
      </c>
      <c r="X183">
        <v>62.08</v>
      </c>
    </row>
    <row r="184" spans="1:24" ht="15">
      <c r="A184">
        <v>177</v>
      </c>
      <c r="B184">
        <v>97026</v>
      </c>
      <c r="C184" t="s">
        <v>536</v>
      </c>
      <c r="D184" t="s">
        <v>138</v>
      </c>
      <c r="E184" t="s">
        <v>537</v>
      </c>
      <c r="F184" t="str">
        <f>"00584309"</f>
        <v>00584309</v>
      </c>
      <c r="G184">
        <v>20.95</v>
      </c>
      <c r="H184">
        <v>0</v>
      </c>
      <c r="I184">
        <v>0</v>
      </c>
      <c r="J184">
        <v>28</v>
      </c>
      <c r="K184">
        <v>28</v>
      </c>
      <c r="L184">
        <v>7</v>
      </c>
      <c r="O184">
        <v>7</v>
      </c>
      <c r="P184">
        <v>4</v>
      </c>
      <c r="Q184">
        <v>2</v>
      </c>
      <c r="R184">
        <v>61.95</v>
      </c>
      <c r="S184">
        <v>0</v>
      </c>
      <c r="T184">
        <v>0</v>
      </c>
      <c r="U184">
        <v>0</v>
      </c>
      <c r="V184">
        <v>0</v>
      </c>
      <c r="W184" t="s">
        <v>14</v>
      </c>
      <c r="X184">
        <v>61.95</v>
      </c>
    </row>
    <row r="185" spans="1:24" ht="15">
      <c r="A185">
        <v>178</v>
      </c>
      <c r="B185">
        <v>68248</v>
      </c>
      <c r="C185" t="s">
        <v>538</v>
      </c>
      <c r="D185" t="s">
        <v>12</v>
      </c>
      <c r="E185" t="s">
        <v>23</v>
      </c>
      <c r="F185" t="str">
        <f>"00625738"</f>
        <v>00625738</v>
      </c>
      <c r="G185">
        <v>16.93</v>
      </c>
      <c r="H185">
        <v>0</v>
      </c>
      <c r="I185">
        <v>0</v>
      </c>
      <c r="J185">
        <v>28</v>
      </c>
      <c r="K185">
        <v>28</v>
      </c>
      <c r="L185">
        <v>7</v>
      </c>
      <c r="O185">
        <v>7</v>
      </c>
      <c r="P185">
        <v>4</v>
      </c>
      <c r="Q185">
        <v>0</v>
      </c>
      <c r="R185">
        <v>55.93</v>
      </c>
      <c r="S185">
        <v>0</v>
      </c>
      <c r="T185">
        <v>0</v>
      </c>
      <c r="U185">
        <v>6</v>
      </c>
      <c r="V185">
        <v>0</v>
      </c>
      <c r="W185" t="s">
        <v>14</v>
      </c>
      <c r="X185">
        <v>61.93</v>
      </c>
    </row>
    <row r="186" spans="1:24" ht="15">
      <c r="A186">
        <v>179</v>
      </c>
      <c r="B186">
        <v>90792</v>
      </c>
      <c r="C186" t="s">
        <v>539</v>
      </c>
      <c r="D186" t="s">
        <v>173</v>
      </c>
      <c r="E186" t="s">
        <v>27</v>
      </c>
      <c r="F186" t="str">
        <f>"00316599"</f>
        <v>00316599</v>
      </c>
      <c r="G186">
        <v>19.8</v>
      </c>
      <c r="H186">
        <v>0</v>
      </c>
      <c r="I186">
        <v>0</v>
      </c>
      <c r="J186">
        <v>0</v>
      </c>
      <c r="K186">
        <v>0</v>
      </c>
      <c r="M186">
        <v>5</v>
      </c>
      <c r="O186">
        <v>5</v>
      </c>
      <c r="P186">
        <v>4</v>
      </c>
      <c r="Q186">
        <v>2</v>
      </c>
      <c r="R186">
        <v>30.8</v>
      </c>
      <c r="S186">
        <v>25</v>
      </c>
      <c r="T186">
        <v>25</v>
      </c>
      <c r="U186">
        <v>6</v>
      </c>
      <c r="V186">
        <v>0</v>
      </c>
      <c r="W186" t="s">
        <v>14</v>
      </c>
      <c r="X186">
        <v>61.8</v>
      </c>
    </row>
    <row r="187" spans="1:24" ht="15">
      <c r="A187">
        <v>180</v>
      </c>
      <c r="B187">
        <v>100654</v>
      </c>
      <c r="C187" t="s">
        <v>542</v>
      </c>
      <c r="D187" t="s">
        <v>97</v>
      </c>
      <c r="E187" t="s">
        <v>12</v>
      </c>
      <c r="F187" t="str">
        <f>"00019314"</f>
        <v>00019314</v>
      </c>
      <c r="G187">
        <v>19.7</v>
      </c>
      <c r="H187">
        <v>0</v>
      </c>
      <c r="I187">
        <v>0</v>
      </c>
      <c r="J187">
        <v>28</v>
      </c>
      <c r="K187">
        <v>28</v>
      </c>
      <c r="L187">
        <v>7</v>
      </c>
      <c r="N187">
        <v>3</v>
      </c>
      <c r="O187">
        <v>10</v>
      </c>
      <c r="P187">
        <v>4</v>
      </c>
      <c r="Q187">
        <v>0</v>
      </c>
      <c r="R187">
        <v>61.7</v>
      </c>
      <c r="S187">
        <v>0</v>
      </c>
      <c r="T187">
        <v>0</v>
      </c>
      <c r="U187">
        <v>0</v>
      </c>
      <c r="V187">
        <v>0</v>
      </c>
      <c r="W187" t="s">
        <v>14</v>
      </c>
      <c r="X187">
        <v>61.7</v>
      </c>
    </row>
    <row r="188" spans="1:24" ht="15">
      <c r="A188">
        <v>181</v>
      </c>
      <c r="B188">
        <v>98515</v>
      </c>
      <c r="C188" t="s">
        <v>547</v>
      </c>
      <c r="D188" t="s">
        <v>111</v>
      </c>
      <c r="E188" t="s">
        <v>12</v>
      </c>
      <c r="F188" t="str">
        <f>"201504002304"</f>
        <v>201504002304</v>
      </c>
      <c r="G188">
        <v>17.68</v>
      </c>
      <c r="H188">
        <v>0</v>
      </c>
      <c r="I188">
        <v>0</v>
      </c>
      <c r="J188">
        <v>28</v>
      </c>
      <c r="K188">
        <v>28</v>
      </c>
      <c r="L188">
        <v>7</v>
      </c>
      <c r="N188">
        <v>3</v>
      </c>
      <c r="O188">
        <v>10</v>
      </c>
      <c r="P188">
        <v>4</v>
      </c>
      <c r="Q188">
        <v>2</v>
      </c>
      <c r="R188">
        <v>61.68</v>
      </c>
      <c r="S188">
        <v>0</v>
      </c>
      <c r="T188">
        <v>0</v>
      </c>
      <c r="U188">
        <v>0</v>
      </c>
      <c r="V188">
        <v>0</v>
      </c>
      <c r="W188" t="s">
        <v>14</v>
      </c>
      <c r="X188">
        <v>61.68</v>
      </c>
    </row>
    <row r="189" spans="1:24" ht="15">
      <c r="A189">
        <v>182</v>
      </c>
      <c r="B189">
        <v>25893</v>
      </c>
      <c r="C189" t="s">
        <v>551</v>
      </c>
      <c r="D189" t="s">
        <v>370</v>
      </c>
      <c r="E189" t="s">
        <v>124</v>
      </c>
      <c r="F189" t="str">
        <f>"200912000245"</f>
        <v>200912000245</v>
      </c>
      <c r="G189">
        <v>17.55</v>
      </c>
      <c r="H189">
        <v>0</v>
      </c>
      <c r="I189">
        <v>0</v>
      </c>
      <c r="J189">
        <v>28</v>
      </c>
      <c r="K189">
        <v>28</v>
      </c>
      <c r="L189">
        <v>7</v>
      </c>
      <c r="M189">
        <v>5</v>
      </c>
      <c r="O189">
        <v>12</v>
      </c>
      <c r="P189">
        <v>4</v>
      </c>
      <c r="Q189">
        <v>0</v>
      </c>
      <c r="R189">
        <v>61.55</v>
      </c>
      <c r="S189">
        <v>0</v>
      </c>
      <c r="T189">
        <v>0</v>
      </c>
      <c r="U189">
        <v>0</v>
      </c>
      <c r="V189">
        <v>0</v>
      </c>
      <c r="W189" t="s">
        <v>14</v>
      </c>
      <c r="X189">
        <v>61.55</v>
      </c>
    </row>
    <row r="190" spans="1:24" ht="15">
      <c r="A190">
        <v>183</v>
      </c>
      <c r="B190">
        <v>97739</v>
      </c>
      <c r="C190" t="s">
        <v>553</v>
      </c>
      <c r="D190" t="s">
        <v>554</v>
      </c>
      <c r="E190" t="s">
        <v>17</v>
      </c>
      <c r="F190" t="str">
        <f>"201504004888"</f>
        <v>201504004888</v>
      </c>
      <c r="G190">
        <v>19.5</v>
      </c>
      <c r="H190">
        <v>0</v>
      </c>
      <c r="I190">
        <v>0</v>
      </c>
      <c r="J190">
        <v>28</v>
      </c>
      <c r="K190">
        <v>28</v>
      </c>
      <c r="L190">
        <v>7</v>
      </c>
      <c r="N190">
        <v>3</v>
      </c>
      <c r="O190">
        <v>10</v>
      </c>
      <c r="P190">
        <v>4</v>
      </c>
      <c r="Q190">
        <v>0</v>
      </c>
      <c r="R190">
        <v>61.5</v>
      </c>
      <c r="S190">
        <v>0</v>
      </c>
      <c r="T190">
        <v>0</v>
      </c>
      <c r="U190">
        <v>0</v>
      </c>
      <c r="V190">
        <v>0</v>
      </c>
      <c r="W190" t="s">
        <v>14</v>
      </c>
      <c r="X190">
        <v>61.5</v>
      </c>
    </row>
    <row r="191" spans="1:24" ht="15">
      <c r="A191">
        <v>184</v>
      </c>
      <c r="B191">
        <v>13797</v>
      </c>
      <c r="C191" t="s">
        <v>555</v>
      </c>
      <c r="D191" t="s">
        <v>173</v>
      </c>
      <c r="E191" t="s">
        <v>27</v>
      </c>
      <c r="F191" t="str">
        <f>"201410000795"</f>
        <v>201410000795</v>
      </c>
      <c r="G191">
        <v>17.5</v>
      </c>
      <c r="H191">
        <v>0</v>
      </c>
      <c r="I191">
        <v>0</v>
      </c>
      <c r="J191">
        <v>28</v>
      </c>
      <c r="K191">
        <v>28</v>
      </c>
      <c r="L191">
        <v>7</v>
      </c>
      <c r="M191">
        <v>5</v>
      </c>
      <c r="O191">
        <v>12</v>
      </c>
      <c r="P191">
        <v>4</v>
      </c>
      <c r="Q191">
        <v>0</v>
      </c>
      <c r="R191">
        <v>61.5</v>
      </c>
      <c r="S191">
        <v>0</v>
      </c>
      <c r="T191">
        <v>0</v>
      </c>
      <c r="U191">
        <v>0</v>
      </c>
      <c r="V191">
        <v>0</v>
      </c>
      <c r="W191" t="s">
        <v>14</v>
      </c>
      <c r="X191">
        <v>61.5</v>
      </c>
    </row>
    <row r="192" spans="1:24" ht="15">
      <c r="A192">
        <v>185</v>
      </c>
      <c r="B192">
        <v>51241</v>
      </c>
      <c r="C192" t="s">
        <v>556</v>
      </c>
      <c r="D192" t="s">
        <v>27</v>
      </c>
      <c r="E192" t="s">
        <v>124</v>
      </c>
      <c r="F192" t="str">
        <f>"00521440"</f>
        <v>00521440</v>
      </c>
      <c r="G192">
        <v>19.45</v>
      </c>
      <c r="H192">
        <v>7</v>
      </c>
      <c r="I192">
        <v>0</v>
      </c>
      <c r="J192">
        <v>20</v>
      </c>
      <c r="K192">
        <v>20</v>
      </c>
      <c r="N192">
        <v>3</v>
      </c>
      <c r="O192">
        <v>3</v>
      </c>
      <c r="P192">
        <v>4</v>
      </c>
      <c r="Q192">
        <v>2</v>
      </c>
      <c r="R192">
        <v>55.45</v>
      </c>
      <c r="S192">
        <v>0</v>
      </c>
      <c r="T192">
        <v>0</v>
      </c>
      <c r="U192">
        <v>6</v>
      </c>
      <c r="V192">
        <v>0</v>
      </c>
      <c r="W192" t="s">
        <v>14</v>
      </c>
      <c r="X192">
        <v>61.45</v>
      </c>
    </row>
    <row r="193" spans="1:24" ht="15">
      <c r="A193">
        <v>186</v>
      </c>
      <c r="B193">
        <v>44427</v>
      </c>
      <c r="C193" t="s">
        <v>559</v>
      </c>
      <c r="D193" t="s">
        <v>30</v>
      </c>
      <c r="E193" t="s">
        <v>17</v>
      </c>
      <c r="F193" t="str">
        <f>"201409000818"</f>
        <v>201409000818</v>
      </c>
      <c r="G193">
        <v>18.38</v>
      </c>
      <c r="H193">
        <v>7</v>
      </c>
      <c r="I193">
        <v>0</v>
      </c>
      <c r="J193">
        <v>20</v>
      </c>
      <c r="K193">
        <v>20</v>
      </c>
      <c r="L193">
        <v>7</v>
      </c>
      <c r="N193">
        <v>3</v>
      </c>
      <c r="O193">
        <v>10</v>
      </c>
      <c r="P193">
        <v>4</v>
      </c>
      <c r="Q193">
        <v>2</v>
      </c>
      <c r="R193">
        <v>61.38</v>
      </c>
      <c r="S193">
        <v>0</v>
      </c>
      <c r="T193">
        <v>0</v>
      </c>
      <c r="U193">
        <v>0</v>
      </c>
      <c r="V193">
        <v>0</v>
      </c>
      <c r="W193" t="s">
        <v>14</v>
      </c>
      <c r="X193">
        <v>61.38</v>
      </c>
    </row>
    <row r="194" spans="1:24" ht="15">
      <c r="A194">
        <v>187</v>
      </c>
      <c r="B194">
        <v>15609</v>
      </c>
      <c r="C194" t="s">
        <v>560</v>
      </c>
      <c r="D194" t="s">
        <v>561</v>
      </c>
      <c r="E194" t="s">
        <v>17</v>
      </c>
      <c r="F194" t="str">
        <f>"00595946"</f>
        <v>00595946</v>
      </c>
      <c r="G194">
        <v>18.33</v>
      </c>
      <c r="H194">
        <v>7</v>
      </c>
      <c r="I194">
        <v>0</v>
      </c>
      <c r="J194">
        <v>20</v>
      </c>
      <c r="K194">
        <v>20</v>
      </c>
      <c r="N194">
        <v>3</v>
      </c>
      <c r="O194">
        <v>3</v>
      </c>
      <c r="P194">
        <v>4</v>
      </c>
      <c r="Q194">
        <v>0</v>
      </c>
      <c r="R194">
        <v>52.33</v>
      </c>
      <c r="S194">
        <v>0</v>
      </c>
      <c r="T194">
        <v>0</v>
      </c>
      <c r="U194">
        <v>9</v>
      </c>
      <c r="V194">
        <v>0</v>
      </c>
      <c r="W194" t="s">
        <v>14</v>
      </c>
      <c r="X194">
        <v>61.33</v>
      </c>
    </row>
    <row r="195" spans="1:24" ht="15">
      <c r="A195">
        <v>188</v>
      </c>
      <c r="B195">
        <v>22086</v>
      </c>
      <c r="C195" t="s">
        <v>562</v>
      </c>
      <c r="D195" t="s">
        <v>336</v>
      </c>
      <c r="E195" t="s">
        <v>563</v>
      </c>
      <c r="F195" t="str">
        <f>"00145610"</f>
        <v>00145610</v>
      </c>
      <c r="G195">
        <v>19.28</v>
      </c>
      <c r="H195">
        <v>0</v>
      </c>
      <c r="I195">
        <v>0</v>
      </c>
      <c r="J195">
        <v>20</v>
      </c>
      <c r="K195">
        <v>20</v>
      </c>
      <c r="L195">
        <v>7</v>
      </c>
      <c r="N195">
        <v>3</v>
      </c>
      <c r="O195">
        <v>10</v>
      </c>
      <c r="P195">
        <v>4</v>
      </c>
      <c r="Q195">
        <v>2</v>
      </c>
      <c r="R195">
        <v>55.28</v>
      </c>
      <c r="S195">
        <v>0</v>
      </c>
      <c r="T195">
        <v>0</v>
      </c>
      <c r="U195">
        <v>6</v>
      </c>
      <c r="V195">
        <v>0</v>
      </c>
      <c r="W195" t="s">
        <v>14</v>
      </c>
      <c r="X195">
        <v>61.28</v>
      </c>
    </row>
    <row r="196" spans="1:24" ht="15">
      <c r="A196">
        <v>189</v>
      </c>
      <c r="B196">
        <v>39929</v>
      </c>
      <c r="C196" t="s">
        <v>565</v>
      </c>
      <c r="D196" t="s">
        <v>566</v>
      </c>
      <c r="E196" t="s">
        <v>357</v>
      </c>
      <c r="F196" t="str">
        <f>"00494335"</f>
        <v>00494335</v>
      </c>
      <c r="G196">
        <v>19.18</v>
      </c>
      <c r="H196">
        <v>0</v>
      </c>
      <c r="I196">
        <v>0</v>
      </c>
      <c r="J196">
        <v>28</v>
      </c>
      <c r="K196">
        <v>28</v>
      </c>
      <c r="L196">
        <v>7</v>
      </c>
      <c r="N196">
        <v>3</v>
      </c>
      <c r="O196">
        <v>10</v>
      </c>
      <c r="P196">
        <v>4</v>
      </c>
      <c r="Q196">
        <v>0</v>
      </c>
      <c r="R196">
        <v>61.18</v>
      </c>
      <c r="S196">
        <v>0</v>
      </c>
      <c r="T196">
        <v>0</v>
      </c>
      <c r="U196">
        <v>0</v>
      </c>
      <c r="V196">
        <v>0</v>
      </c>
      <c r="W196" t="s">
        <v>14</v>
      </c>
      <c r="X196">
        <v>61.18</v>
      </c>
    </row>
    <row r="197" spans="1:24" ht="15">
      <c r="A197">
        <v>190</v>
      </c>
      <c r="B197">
        <v>46188</v>
      </c>
      <c r="C197" t="s">
        <v>569</v>
      </c>
      <c r="D197" t="s">
        <v>29</v>
      </c>
      <c r="E197" t="s">
        <v>30</v>
      </c>
      <c r="F197" t="str">
        <f>"00618191"</f>
        <v>00618191</v>
      </c>
      <c r="G197">
        <v>19.08</v>
      </c>
      <c r="H197">
        <v>0</v>
      </c>
      <c r="I197">
        <v>0</v>
      </c>
      <c r="J197">
        <v>28</v>
      </c>
      <c r="K197">
        <v>28</v>
      </c>
      <c r="L197">
        <v>7</v>
      </c>
      <c r="O197">
        <v>7</v>
      </c>
      <c r="P197">
        <v>4</v>
      </c>
      <c r="Q197">
        <v>0</v>
      </c>
      <c r="R197">
        <v>58.08</v>
      </c>
      <c r="S197">
        <v>0</v>
      </c>
      <c r="T197">
        <v>0</v>
      </c>
      <c r="U197">
        <v>3</v>
      </c>
      <c r="V197">
        <v>0</v>
      </c>
      <c r="W197" t="s">
        <v>14</v>
      </c>
      <c r="X197">
        <v>61.08</v>
      </c>
    </row>
    <row r="198" spans="1:24" ht="15">
      <c r="A198">
        <v>191</v>
      </c>
      <c r="B198">
        <v>82036</v>
      </c>
      <c r="C198" t="s">
        <v>576</v>
      </c>
      <c r="D198" t="s">
        <v>577</v>
      </c>
      <c r="E198" t="s">
        <v>120</v>
      </c>
      <c r="F198" t="str">
        <f>"00449441"</f>
        <v>00449441</v>
      </c>
      <c r="G198">
        <v>17</v>
      </c>
      <c r="H198">
        <v>0</v>
      </c>
      <c r="I198">
        <v>0</v>
      </c>
      <c r="J198">
        <v>28</v>
      </c>
      <c r="K198">
        <v>28</v>
      </c>
      <c r="L198">
        <v>7</v>
      </c>
      <c r="O198">
        <v>7</v>
      </c>
      <c r="P198">
        <v>4</v>
      </c>
      <c r="Q198">
        <v>2</v>
      </c>
      <c r="R198">
        <v>58</v>
      </c>
      <c r="S198">
        <v>0</v>
      </c>
      <c r="T198">
        <v>0</v>
      </c>
      <c r="U198">
        <v>3</v>
      </c>
      <c r="V198">
        <v>0</v>
      </c>
      <c r="W198" t="s">
        <v>14</v>
      </c>
      <c r="X198">
        <v>61</v>
      </c>
    </row>
    <row r="199" spans="1:24" ht="15">
      <c r="A199">
        <v>192</v>
      </c>
      <c r="B199">
        <v>67793</v>
      </c>
      <c r="C199" t="s">
        <v>578</v>
      </c>
      <c r="D199" t="s">
        <v>579</v>
      </c>
      <c r="E199" t="s">
        <v>27</v>
      </c>
      <c r="F199" t="str">
        <f>"201406000885"</f>
        <v>201406000885</v>
      </c>
      <c r="G199">
        <v>17.93</v>
      </c>
      <c r="H199">
        <v>0</v>
      </c>
      <c r="I199">
        <v>0</v>
      </c>
      <c r="J199">
        <v>28</v>
      </c>
      <c r="K199">
        <v>28</v>
      </c>
      <c r="N199">
        <v>6</v>
      </c>
      <c r="O199">
        <v>6</v>
      </c>
      <c r="P199">
        <v>4</v>
      </c>
      <c r="Q199">
        <v>2</v>
      </c>
      <c r="R199">
        <v>57.93</v>
      </c>
      <c r="S199">
        <v>0</v>
      </c>
      <c r="T199">
        <v>0</v>
      </c>
      <c r="U199">
        <v>3</v>
      </c>
      <c r="V199">
        <v>0</v>
      </c>
      <c r="W199" t="s">
        <v>14</v>
      </c>
      <c r="X199">
        <v>60.93</v>
      </c>
    </row>
    <row r="200" spans="1:24" ht="15">
      <c r="A200">
        <v>193</v>
      </c>
      <c r="B200">
        <v>114447</v>
      </c>
      <c r="C200" t="s">
        <v>580</v>
      </c>
      <c r="D200" t="s">
        <v>581</v>
      </c>
      <c r="E200" t="s">
        <v>73</v>
      </c>
      <c r="F200" t="str">
        <f>"00527408"</f>
        <v>00527408</v>
      </c>
      <c r="G200">
        <v>16.9</v>
      </c>
      <c r="H200">
        <v>7</v>
      </c>
      <c r="I200">
        <v>0</v>
      </c>
      <c r="J200">
        <v>28</v>
      </c>
      <c r="K200">
        <v>28</v>
      </c>
      <c r="N200">
        <v>3</v>
      </c>
      <c r="O200">
        <v>3</v>
      </c>
      <c r="P200">
        <v>4</v>
      </c>
      <c r="Q200">
        <v>2</v>
      </c>
      <c r="R200">
        <v>60.9</v>
      </c>
      <c r="S200">
        <v>0</v>
      </c>
      <c r="T200">
        <v>0</v>
      </c>
      <c r="U200">
        <v>0</v>
      </c>
      <c r="V200">
        <v>0</v>
      </c>
      <c r="W200" t="s">
        <v>14</v>
      </c>
      <c r="X200">
        <v>60.9</v>
      </c>
    </row>
    <row r="201" spans="1:24" ht="15">
      <c r="A201">
        <v>194</v>
      </c>
      <c r="B201">
        <v>27836</v>
      </c>
      <c r="C201" t="s">
        <v>582</v>
      </c>
      <c r="D201" t="s">
        <v>20</v>
      </c>
      <c r="E201" t="s">
        <v>80</v>
      </c>
      <c r="F201" t="str">
        <f>"00627477"</f>
        <v>00627477</v>
      </c>
      <c r="G201">
        <v>16.9</v>
      </c>
      <c r="H201">
        <v>0</v>
      </c>
      <c r="I201">
        <v>0</v>
      </c>
      <c r="J201">
        <v>28</v>
      </c>
      <c r="K201">
        <v>28</v>
      </c>
      <c r="L201">
        <v>7</v>
      </c>
      <c r="N201">
        <v>3</v>
      </c>
      <c r="O201">
        <v>10</v>
      </c>
      <c r="P201">
        <v>4</v>
      </c>
      <c r="Q201">
        <v>2</v>
      </c>
      <c r="R201">
        <v>60.9</v>
      </c>
      <c r="S201">
        <v>0</v>
      </c>
      <c r="T201">
        <v>0</v>
      </c>
      <c r="U201">
        <v>0</v>
      </c>
      <c r="V201">
        <v>0</v>
      </c>
      <c r="W201" t="s">
        <v>14</v>
      </c>
      <c r="X201">
        <v>60.9</v>
      </c>
    </row>
    <row r="202" spans="1:24" ht="15">
      <c r="A202">
        <v>195</v>
      </c>
      <c r="B202">
        <v>91659</v>
      </c>
      <c r="C202" t="s">
        <v>583</v>
      </c>
      <c r="D202" t="s">
        <v>472</v>
      </c>
      <c r="E202" t="s">
        <v>21</v>
      </c>
      <c r="F202" t="str">
        <f>"200802006852"</f>
        <v>200802006852</v>
      </c>
      <c r="G202">
        <v>17.88</v>
      </c>
      <c r="H202">
        <v>7</v>
      </c>
      <c r="I202">
        <v>0</v>
      </c>
      <c r="J202">
        <v>20</v>
      </c>
      <c r="K202">
        <v>20</v>
      </c>
      <c r="L202">
        <v>7</v>
      </c>
      <c r="O202">
        <v>7</v>
      </c>
      <c r="P202">
        <v>4</v>
      </c>
      <c r="Q202">
        <v>2</v>
      </c>
      <c r="R202">
        <v>57.88</v>
      </c>
      <c r="S202">
        <v>0</v>
      </c>
      <c r="T202">
        <v>0</v>
      </c>
      <c r="U202">
        <v>3</v>
      </c>
      <c r="V202">
        <v>0</v>
      </c>
      <c r="W202" t="s">
        <v>14</v>
      </c>
      <c r="X202">
        <v>60.88</v>
      </c>
    </row>
    <row r="203" spans="1:24" ht="15">
      <c r="A203">
        <v>196</v>
      </c>
      <c r="B203">
        <v>2656</v>
      </c>
      <c r="C203" t="s">
        <v>592</v>
      </c>
      <c r="D203" t="s">
        <v>359</v>
      </c>
      <c r="E203" t="s">
        <v>109</v>
      </c>
      <c r="F203" t="str">
        <f>"00147947"</f>
        <v>00147947</v>
      </c>
      <c r="G203">
        <v>15.8</v>
      </c>
      <c r="H203">
        <v>0</v>
      </c>
      <c r="I203">
        <v>0</v>
      </c>
      <c r="J203">
        <v>0</v>
      </c>
      <c r="K203">
        <v>0</v>
      </c>
      <c r="L203">
        <v>7</v>
      </c>
      <c r="O203">
        <v>7</v>
      </c>
      <c r="P203">
        <v>4</v>
      </c>
      <c r="Q203">
        <v>2</v>
      </c>
      <c r="R203">
        <v>28.8</v>
      </c>
      <c r="S203">
        <v>32</v>
      </c>
      <c r="T203">
        <v>32</v>
      </c>
      <c r="U203">
        <v>0</v>
      </c>
      <c r="V203">
        <v>0</v>
      </c>
      <c r="W203" t="s">
        <v>14</v>
      </c>
      <c r="X203">
        <v>60.8</v>
      </c>
    </row>
    <row r="204" spans="1:24" ht="15">
      <c r="A204">
        <v>197</v>
      </c>
      <c r="B204">
        <v>60347</v>
      </c>
      <c r="C204" t="s">
        <v>41</v>
      </c>
      <c r="D204" t="s">
        <v>595</v>
      </c>
      <c r="E204" t="s">
        <v>17</v>
      </c>
      <c r="F204" t="str">
        <f>"00189916"</f>
        <v>00189916</v>
      </c>
      <c r="G204">
        <v>18.75</v>
      </c>
      <c r="H204">
        <v>0</v>
      </c>
      <c r="I204">
        <v>0</v>
      </c>
      <c r="J204">
        <v>20</v>
      </c>
      <c r="K204">
        <v>20</v>
      </c>
      <c r="L204">
        <v>7</v>
      </c>
      <c r="M204">
        <v>5</v>
      </c>
      <c r="O204">
        <v>12</v>
      </c>
      <c r="P204">
        <v>4</v>
      </c>
      <c r="Q204">
        <v>0</v>
      </c>
      <c r="R204">
        <v>54.75</v>
      </c>
      <c r="S204">
        <v>0</v>
      </c>
      <c r="T204">
        <v>0</v>
      </c>
      <c r="U204">
        <v>6</v>
      </c>
      <c r="V204">
        <v>0</v>
      </c>
      <c r="W204" t="s">
        <v>14</v>
      </c>
      <c r="X204">
        <v>60.75</v>
      </c>
    </row>
    <row r="205" spans="1:24" ht="15">
      <c r="A205">
        <v>198</v>
      </c>
      <c r="B205">
        <v>42288</v>
      </c>
      <c r="C205" t="s">
        <v>597</v>
      </c>
      <c r="D205" t="s">
        <v>177</v>
      </c>
      <c r="E205" t="s">
        <v>27</v>
      </c>
      <c r="F205" t="str">
        <f>"00021189"</f>
        <v>00021189</v>
      </c>
      <c r="G205">
        <v>20.73</v>
      </c>
      <c r="H205">
        <v>7</v>
      </c>
      <c r="I205">
        <v>0</v>
      </c>
      <c r="J205">
        <v>20</v>
      </c>
      <c r="K205">
        <v>20</v>
      </c>
      <c r="M205">
        <v>5</v>
      </c>
      <c r="O205">
        <v>5</v>
      </c>
      <c r="P205">
        <v>4</v>
      </c>
      <c r="Q205">
        <v>2</v>
      </c>
      <c r="R205">
        <v>58.73</v>
      </c>
      <c r="S205">
        <v>2</v>
      </c>
      <c r="T205">
        <v>2</v>
      </c>
      <c r="U205">
        <v>0</v>
      </c>
      <c r="V205">
        <v>0</v>
      </c>
      <c r="W205" t="s">
        <v>14</v>
      </c>
      <c r="X205">
        <v>60.73</v>
      </c>
    </row>
    <row r="206" spans="1:24" ht="15">
      <c r="A206">
        <v>199</v>
      </c>
      <c r="B206">
        <v>92628</v>
      </c>
      <c r="C206" t="s">
        <v>599</v>
      </c>
      <c r="D206" t="s">
        <v>29</v>
      </c>
      <c r="E206" t="s">
        <v>17</v>
      </c>
      <c r="F206" t="str">
        <f>"00208172"</f>
        <v>00208172</v>
      </c>
      <c r="G206">
        <v>20.65</v>
      </c>
      <c r="H206">
        <v>7</v>
      </c>
      <c r="I206">
        <v>0</v>
      </c>
      <c r="J206">
        <v>20</v>
      </c>
      <c r="K206">
        <v>20</v>
      </c>
      <c r="N206">
        <v>3</v>
      </c>
      <c r="O206">
        <v>3</v>
      </c>
      <c r="P206">
        <v>4</v>
      </c>
      <c r="Q206">
        <v>0</v>
      </c>
      <c r="R206">
        <v>54.65</v>
      </c>
      <c r="S206">
        <v>3</v>
      </c>
      <c r="T206">
        <v>3</v>
      </c>
      <c r="U206">
        <v>3</v>
      </c>
      <c r="V206">
        <v>0</v>
      </c>
      <c r="W206" t="s">
        <v>14</v>
      </c>
      <c r="X206">
        <v>60.65</v>
      </c>
    </row>
    <row r="207" spans="1:24" ht="15">
      <c r="A207">
        <v>200</v>
      </c>
      <c r="B207">
        <v>1901</v>
      </c>
      <c r="C207" t="s">
        <v>602</v>
      </c>
      <c r="D207" t="s">
        <v>603</v>
      </c>
      <c r="E207" t="s">
        <v>604</v>
      </c>
      <c r="F207" t="str">
        <f>"00142145"</f>
        <v>00142145</v>
      </c>
      <c r="G207">
        <v>18.58</v>
      </c>
      <c r="H207">
        <v>0</v>
      </c>
      <c r="I207">
        <v>0</v>
      </c>
      <c r="J207">
        <v>28</v>
      </c>
      <c r="K207">
        <v>28</v>
      </c>
      <c r="L207">
        <v>7</v>
      </c>
      <c r="N207">
        <v>3</v>
      </c>
      <c r="O207">
        <v>10</v>
      </c>
      <c r="P207">
        <v>4</v>
      </c>
      <c r="Q207">
        <v>0</v>
      </c>
      <c r="R207">
        <v>60.58</v>
      </c>
      <c r="S207">
        <v>0</v>
      </c>
      <c r="T207">
        <v>0</v>
      </c>
      <c r="U207">
        <v>0</v>
      </c>
      <c r="V207">
        <v>0</v>
      </c>
      <c r="W207" t="s">
        <v>14</v>
      </c>
      <c r="X207">
        <v>60.58</v>
      </c>
    </row>
    <row r="208" spans="1:24" ht="15">
      <c r="A208">
        <v>201</v>
      </c>
      <c r="B208">
        <v>63129</v>
      </c>
      <c r="C208" t="s">
        <v>607</v>
      </c>
      <c r="D208" t="s">
        <v>12</v>
      </c>
      <c r="E208" t="s">
        <v>27</v>
      </c>
      <c r="F208" t="str">
        <f>"201412002293"</f>
        <v>201412002293</v>
      </c>
      <c r="G208">
        <v>20.45</v>
      </c>
      <c r="H208">
        <v>0</v>
      </c>
      <c r="I208">
        <v>0</v>
      </c>
      <c r="J208">
        <v>20</v>
      </c>
      <c r="K208">
        <v>20</v>
      </c>
      <c r="L208">
        <v>14</v>
      </c>
      <c r="O208">
        <v>14</v>
      </c>
      <c r="P208">
        <v>4</v>
      </c>
      <c r="Q208">
        <v>2</v>
      </c>
      <c r="R208">
        <v>60.45</v>
      </c>
      <c r="S208">
        <v>0</v>
      </c>
      <c r="T208">
        <v>0</v>
      </c>
      <c r="U208">
        <v>0</v>
      </c>
      <c r="V208">
        <v>0</v>
      </c>
      <c r="W208" t="s">
        <v>14</v>
      </c>
      <c r="X208">
        <v>60.45</v>
      </c>
    </row>
    <row r="209" spans="1:24" ht="15">
      <c r="A209">
        <v>202</v>
      </c>
      <c r="B209">
        <v>102451</v>
      </c>
      <c r="C209" t="s">
        <v>608</v>
      </c>
      <c r="D209" t="s">
        <v>505</v>
      </c>
      <c r="E209" t="s">
        <v>27</v>
      </c>
      <c r="F209" t="str">
        <f>"00198329"</f>
        <v>00198329</v>
      </c>
      <c r="G209">
        <v>16.43</v>
      </c>
      <c r="H209">
        <v>0</v>
      </c>
      <c r="I209">
        <v>0</v>
      </c>
      <c r="J209">
        <v>28</v>
      </c>
      <c r="K209">
        <v>28</v>
      </c>
      <c r="L209">
        <v>7</v>
      </c>
      <c r="N209">
        <v>3</v>
      </c>
      <c r="O209">
        <v>10</v>
      </c>
      <c r="P209">
        <v>4</v>
      </c>
      <c r="Q209">
        <v>2</v>
      </c>
      <c r="R209">
        <v>60.43</v>
      </c>
      <c r="S209">
        <v>0</v>
      </c>
      <c r="T209">
        <v>0</v>
      </c>
      <c r="U209">
        <v>0</v>
      </c>
      <c r="V209">
        <v>0</v>
      </c>
      <c r="W209" t="s">
        <v>14</v>
      </c>
      <c r="X209">
        <v>60.43</v>
      </c>
    </row>
    <row r="210" spans="1:24" ht="15">
      <c r="A210">
        <v>203</v>
      </c>
      <c r="B210">
        <v>8510</v>
      </c>
      <c r="C210" t="s">
        <v>609</v>
      </c>
      <c r="D210" t="s">
        <v>17</v>
      </c>
      <c r="E210" t="s">
        <v>113</v>
      </c>
      <c r="F210" t="str">
        <f>"201504000102"</f>
        <v>201504000102</v>
      </c>
      <c r="G210">
        <v>19.38</v>
      </c>
      <c r="H210">
        <v>0</v>
      </c>
      <c r="I210">
        <v>0</v>
      </c>
      <c r="J210">
        <v>28</v>
      </c>
      <c r="K210">
        <v>28</v>
      </c>
      <c r="N210">
        <v>3</v>
      </c>
      <c r="O210">
        <v>3</v>
      </c>
      <c r="P210">
        <v>4</v>
      </c>
      <c r="Q210">
        <v>2</v>
      </c>
      <c r="R210">
        <v>56.38</v>
      </c>
      <c r="S210">
        <v>4</v>
      </c>
      <c r="T210">
        <v>4</v>
      </c>
      <c r="U210">
        <v>0</v>
      </c>
      <c r="V210">
        <v>0</v>
      </c>
      <c r="W210" t="s">
        <v>14</v>
      </c>
      <c r="X210">
        <v>60.38</v>
      </c>
    </row>
    <row r="211" spans="1:24" ht="15">
      <c r="A211">
        <v>204</v>
      </c>
      <c r="B211">
        <v>78021</v>
      </c>
      <c r="C211" t="s">
        <v>610</v>
      </c>
      <c r="D211" t="s">
        <v>377</v>
      </c>
      <c r="E211" t="s">
        <v>177</v>
      </c>
      <c r="F211" t="str">
        <f>"00574684"</f>
        <v>00574684</v>
      </c>
      <c r="G211">
        <v>19.33</v>
      </c>
      <c r="H211">
        <v>7</v>
      </c>
      <c r="I211">
        <v>0</v>
      </c>
      <c r="J211">
        <v>20</v>
      </c>
      <c r="K211">
        <v>20</v>
      </c>
      <c r="L211">
        <v>7</v>
      </c>
      <c r="N211">
        <v>3</v>
      </c>
      <c r="O211">
        <v>10</v>
      </c>
      <c r="P211">
        <v>4</v>
      </c>
      <c r="Q211">
        <v>0</v>
      </c>
      <c r="R211">
        <v>60.33</v>
      </c>
      <c r="S211">
        <v>0</v>
      </c>
      <c r="T211">
        <v>0</v>
      </c>
      <c r="U211">
        <v>0</v>
      </c>
      <c r="V211">
        <v>0</v>
      </c>
      <c r="W211" t="s">
        <v>14</v>
      </c>
      <c r="X211">
        <v>60.33</v>
      </c>
    </row>
    <row r="212" spans="1:24" ht="15">
      <c r="A212">
        <v>205</v>
      </c>
      <c r="B212">
        <v>36677</v>
      </c>
      <c r="C212" t="s">
        <v>611</v>
      </c>
      <c r="D212" t="s">
        <v>612</v>
      </c>
      <c r="E212" t="s">
        <v>109</v>
      </c>
      <c r="F212" t="str">
        <f>"201604002230"</f>
        <v>201604002230</v>
      </c>
      <c r="G212">
        <v>18.3</v>
      </c>
      <c r="H212">
        <v>0</v>
      </c>
      <c r="I212">
        <v>0</v>
      </c>
      <c r="J212">
        <v>28</v>
      </c>
      <c r="K212">
        <v>28</v>
      </c>
      <c r="L212">
        <v>7</v>
      </c>
      <c r="N212">
        <v>3</v>
      </c>
      <c r="O212">
        <v>10</v>
      </c>
      <c r="P212">
        <v>4</v>
      </c>
      <c r="Q212">
        <v>0</v>
      </c>
      <c r="R212">
        <v>60.3</v>
      </c>
      <c r="S212">
        <v>0</v>
      </c>
      <c r="T212">
        <v>0</v>
      </c>
      <c r="U212">
        <v>0</v>
      </c>
      <c r="V212">
        <v>0</v>
      </c>
      <c r="W212" t="s">
        <v>14</v>
      </c>
      <c r="X212">
        <v>60.3</v>
      </c>
    </row>
    <row r="213" spans="1:24" ht="15">
      <c r="A213">
        <v>206</v>
      </c>
      <c r="B213">
        <v>11606</v>
      </c>
      <c r="C213" t="s">
        <v>613</v>
      </c>
      <c r="D213" t="s">
        <v>97</v>
      </c>
      <c r="E213" t="s">
        <v>614</v>
      </c>
      <c r="F213" t="str">
        <f>"00606787"</f>
        <v>00606787</v>
      </c>
      <c r="G213">
        <v>17.3</v>
      </c>
      <c r="H213">
        <v>7</v>
      </c>
      <c r="I213">
        <v>0</v>
      </c>
      <c r="J213">
        <v>20</v>
      </c>
      <c r="K213">
        <v>20</v>
      </c>
      <c r="L213">
        <v>7</v>
      </c>
      <c r="M213">
        <v>5</v>
      </c>
      <c r="O213">
        <v>12</v>
      </c>
      <c r="P213">
        <v>4</v>
      </c>
      <c r="Q213">
        <v>0</v>
      </c>
      <c r="R213">
        <v>60.3</v>
      </c>
      <c r="S213">
        <v>0</v>
      </c>
      <c r="T213">
        <v>0</v>
      </c>
      <c r="U213">
        <v>0</v>
      </c>
      <c r="V213">
        <v>0</v>
      </c>
      <c r="W213" t="s">
        <v>14</v>
      </c>
      <c r="X213">
        <v>60.3</v>
      </c>
    </row>
    <row r="214" spans="1:24" ht="15">
      <c r="A214">
        <v>207</v>
      </c>
      <c r="B214">
        <v>193</v>
      </c>
      <c r="C214" t="s">
        <v>615</v>
      </c>
      <c r="D214" t="s">
        <v>97</v>
      </c>
      <c r="E214" t="s">
        <v>23</v>
      </c>
      <c r="F214" t="str">
        <f>"00427748"</f>
        <v>00427748</v>
      </c>
      <c r="G214">
        <v>22.28</v>
      </c>
      <c r="H214">
        <v>0</v>
      </c>
      <c r="I214">
        <v>0</v>
      </c>
      <c r="J214">
        <v>28</v>
      </c>
      <c r="K214">
        <v>28</v>
      </c>
      <c r="N214">
        <v>3</v>
      </c>
      <c r="O214">
        <v>3</v>
      </c>
      <c r="P214">
        <v>4</v>
      </c>
      <c r="Q214">
        <v>0</v>
      </c>
      <c r="R214">
        <v>57.28</v>
      </c>
      <c r="S214">
        <v>0</v>
      </c>
      <c r="T214">
        <v>0</v>
      </c>
      <c r="U214">
        <v>3</v>
      </c>
      <c r="V214">
        <v>0</v>
      </c>
      <c r="W214" t="s">
        <v>14</v>
      </c>
      <c r="X214">
        <v>60.28</v>
      </c>
    </row>
    <row r="215" spans="1:24" ht="15">
      <c r="A215">
        <v>208</v>
      </c>
      <c r="B215">
        <v>10822</v>
      </c>
      <c r="C215" t="s">
        <v>621</v>
      </c>
      <c r="D215" t="s">
        <v>622</v>
      </c>
      <c r="E215" t="s">
        <v>53</v>
      </c>
      <c r="F215" t="str">
        <f>"00558566"</f>
        <v>00558566</v>
      </c>
      <c r="G215">
        <v>18.18</v>
      </c>
      <c r="H215">
        <v>0</v>
      </c>
      <c r="I215">
        <v>0</v>
      </c>
      <c r="J215">
        <v>28</v>
      </c>
      <c r="K215">
        <v>28</v>
      </c>
      <c r="L215">
        <v>7</v>
      </c>
      <c r="N215">
        <v>3</v>
      </c>
      <c r="O215">
        <v>10</v>
      </c>
      <c r="P215">
        <v>4</v>
      </c>
      <c r="Q215">
        <v>0</v>
      </c>
      <c r="R215">
        <v>60.18</v>
      </c>
      <c r="S215">
        <v>0</v>
      </c>
      <c r="T215">
        <v>0</v>
      </c>
      <c r="U215">
        <v>0</v>
      </c>
      <c r="V215">
        <v>0</v>
      </c>
      <c r="W215" t="s">
        <v>14</v>
      </c>
      <c r="X215">
        <v>60.18</v>
      </c>
    </row>
    <row r="216" spans="1:24" ht="15">
      <c r="A216">
        <v>209</v>
      </c>
      <c r="B216">
        <v>35029</v>
      </c>
      <c r="C216" t="s">
        <v>630</v>
      </c>
      <c r="D216" t="s">
        <v>153</v>
      </c>
      <c r="E216" t="s">
        <v>27</v>
      </c>
      <c r="F216" t="str">
        <f>"00336902"</f>
        <v>00336902</v>
      </c>
      <c r="G216">
        <v>21.03</v>
      </c>
      <c r="H216">
        <v>0</v>
      </c>
      <c r="I216">
        <v>0</v>
      </c>
      <c r="J216">
        <v>20</v>
      </c>
      <c r="K216">
        <v>20</v>
      </c>
      <c r="L216">
        <v>7</v>
      </c>
      <c r="O216">
        <v>7</v>
      </c>
      <c r="P216">
        <v>4</v>
      </c>
      <c r="Q216">
        <v>2</v>
      </c>
      <c r="R216">
        <v>54.03</v>
      </c>
      <c r="S216">
        <v>3</v>
      </c>
      <c r="T216">
        <v>3</v>
      </c>
      <c r="U216">
        <v>3</v>
      </c>
      <c r="V216">
        <v>0</v>
      </c>
      <c r="W216" t="s">
        <v>14</v>
      </c>
      <c r="X216">
        <v>60.03</v>
      </c>
    </row>
    <row r="217" spans="1:24" ht="15">
      <c r="A217">
        <v>210</v>
      </c>
      <c r="B217">
        <v>61174</v>
      </c>
      <c r="C217" t="s">
        <v>632</v>
      </c>
      <c r="D217" t="s">
        <v>27</v>
      </c>
      <c r="E217" t="s">
        <v>30</v>
      </c>
      <c r="F217" t="str">
        <f>"201412006342"</f>
        <v>201412006342</v>
      </c>
      <c r="G217">
        <v>15.98</v>
      </c>
      <c r="H217">
        <v>0</v>
      </c>
      <c r="I217">
        <v>0</v>
      </c>
      <c r="J217">
        <v>28</v>
      </c>
      <c r="K217">
        <v>28</v>
      </c>
      <c r="L217">
        <v>7</v>
      </c>
      <c r="N217">
        <v>3</v>
      </c>
      <c r="O217">
        <v>10</v>
      </c>
      <c r="P217">
        <v>4</v>
      </c>
      <c r="Q217">
        <v>2</v>
      </c>
      <c r="R217">
        <v>59.98</v>
      </c>
      <c r="S217">
        <v>0</v>
      </c>
      <c r="T217">
        <v>0</v>
      </c>
      <c r="U217">
        <v>0</v>
      </c>
      <c r="V217">
        <v>0</v>
      </c>
      <c r="W217" t="s">
        <v>14</v>
      </c>
      <c r="X217">
        <v>59.98</v>
      </c>
    </row>
    <row r="218" spans="1:24" ht="15">
      <c r="A218">
        <v>211</v>
      </c>
      <c r="B218">
        <v>61401</v>
      </c>
      <c r="C218" t="s">
        <v>634</v>
      </c>
      <c r="D218" t="s">
        <v>407</v>
      </c>
      <c r="E218" t="s">
        <v>21</v>
      </c>
      <c r="F218" t="str">
        <f>"00529183"</f>
        <v>00529183</v>
      </c>
      <c r="G218">
        <v>18.1</v>
      </c>
      <c r="H218">
        <v>0</v>
      </c>
      <c r="I218">
        <v>0</v>
      </c>
      <c r="J218">
        <v>0</v>
      </c>
      <c r="K218">
        <v>0</v>
      </c>
      <c r="O218">
        <v>0</v>
      </c>
      <c r="P218">
        <v>0</v>
      </c>
      <c r="Q218">
        <v>0</v>
      </c>
      <c r="R218">
        <v>18.1</v>
      </c>
      <c r="S218">
        <v>0</v>
      </c>
      <c r="T218">
        <v>0</v>
      </c>
      <c r="U218">
        <v>3</v>
      </c>
      <c r="V218">
        <v>38.8</v>
      </c>
      <c r="W218" t="s">
        <v>14</v>
      </c>
      <c r="X218">
        <v>59.9</v>
      </c>
    </row>
    <row r="219" spans="1:24" ht="15">
      <c r="A219">
        <v>212</v>
      </c>
      <c r="B219">
        <v>80135</v>
      </c>
      <c r="C219" t="s">
        <v>636</v>
      </c>
      <c r="D219" t="s">
        <v>41</v>
      </c>
      <c r="E219" t="s">
        <v>273</v>
      </c>
      <c r="F219" t="str">
        <f>"201504002314"</f>
        <v>201504002314</v>
      </c>
      <c r="G219">
        <v>17.85</v>
      </c>
      <c r="H219">
        <v>0</v>
      </c>
      <c r="I219">
        <v>0</v>
      </c>
      <c r="J219">
        <v>28</v>
      </c>
      <c r="K219">
        <v>28</v>
      </c>
      <c r="L219">
        <v>7</v>
      </c>
      <c r="O219">
        <v>7</v>
      </c>
      <c r="P219">
        <v>4</v>
      </c>
      <c r="Q219">
        <v>0</v>
      </c>
      <c r="R219">
        <v>56.85</v>
      </c>
      <c r="S219">
        <v>0</v>
      </c>
      <c r="T219">
        <v>0</v>
      </c>
      <c r="U219">
        <v>3</v>
      </c>
      <c r="V219">
        <v>0</v>
      </c>
      <c r="W219" t="s">
        <v>14</v>
      </c>
      <c r="X219">
        <v>59.85</v>
      </c>
    </row>
    <row r="220" spans="1:24" ht="15">
      <c r="A220">
        <v>213</v>
      </c>
      <c r="B220">
        <v>52836</v>
      </c>
      <c r="C220" t="s">
        <v>643</v>
      </c>
      <c r="D220" t="s">
        <v>76</v>
      </c>
      <c r="E220" t="s">
        <v>12</v>
      </c>
      <c r="F220" t="str">
        <f>"201504003139"</f>
        <v>201504003139</v>
      </c>
      <c r="G220">
        <v>20.68</v>
      </c>
      <c r="H220">
        <v>0</v>
      </c>
      <c r="I220">
        <v>0</v>
      </c>
      <c r="J220">
        <v>28</v>
      </c>
      <c r="K220">
        <v>28</v>
      </c>
      <c r="L220">
        <v>7</v>
      </c>
      <c r="O220">
        <v>7</v>
      </c>
      <c r="P220">
        <v>4</v>
      </c>
      <c r="Q220">
        <v>0</v>
      </c>
      <c r="R220">
        <v>59.68</v>
      </c>
      <c r="S220">
        <v>0</v>
      </c>
      <c r="T220">
        <v>0</v>
      </c>
      <c r="U220">
        <v>0</v>
      </c>
      <c r="V220">
        <v>0</v>
      </c>
      <c r="W220" t="s">
        <v>14</v>
      </c>
      <c r="X220">
        <v>59.68</v>
      </c>
    </row>
    <row r="221" spans="1:24" ht="15">
      <c r="A221">
        <v>214</v>
      </c>
      <c r="B221">
        <v>57689</v>
      </c>
      <c r="C221" t="s">
        <v>645</v>
      </c>
      <c r="D221" t="s">
        <v>646</v>
      </c>
      <c r="E221" t="s">
        <v>124</v>
      </c>
      <c r="F221" t="str">
        <f>"200801001648"</f>
        <v>200801001648</v>
      </c>
      <c r="G221">
        <v>20.6</v>
      </c>
      <c r="H221">
        <v>0</v>
      </c>
      <c r="I221">
        <v>0</v>
      </c>
      <c r="J221">
        <v>20</v>
      </c>
      <c r="K221">
        <v>20</v>
      </c>
      <c r="L221">
        <v>7</v>
      </c>
      <c r="M221">
        <v>5</v>
      </c>
      <c r="O221">
        <v>12</v>
      </c>
      <c r="P221">
        <v>4</v>
      </c>
      <c r="Q221">
        <v>0</v>
      </c>
      <c r="R221">
        <v>56.6</v>
      </c>
      <c r="S221">
        <v>0</v>
      </c>
      <c r="T221">
        <v>0</v>
      </c>
      <c r="U221">
        <v>3</v>
      </c>
      <c r="V221">
        <v>0</v>
      </c>
      <c r="W221" t="s">
        <v>14</v>
      </c>
      <c r="X221">
        <v>59.6</v>
      </c>
    </row>
    <row r="222" spans="1:24" ht="15">
      <c r="A222">
        <v>215</v>
      </c>
      <c r="B222">
        <v>54477</v>
      </c>
      <c r="C222" t="s">
        <v>647</v>
      </c>
      <c r="D222" t="s">
        <v>363</v>
      </c>
      <c r="E222" t="s">
        <v>135</v>
      </c>
      <c r="F222" t="str">
        <f>"201405000532"</f>
        <v>201405000532</v>
      </c>
      <c r="G222">
        <v>16.5</v>
      </c>
      <c r="H222">
        <v>7</v>
      </c>
      <c r="I222">
        <v>0</v>
      </c>
      <c r="J222">
        <v>20</v>
      </c>
      <c r="K222">
        <v>20</v>
      </c>
      <c r="L222">
        <v>7</v>
      </c>
      <c r="N222">
        <v>3</v>
      </c>
      <c r="O222">
        <v>10</v>
      </c>
      <c r="P222">
        <v>4</v>
      </c>
      <c r="Q222">
        <v>2</v>
      </c>
      <c r="R222">
        <v>59.5</v>
      </c>
      <c r="S222">
        <v>0</v>
      </c>
      <c r="T222">
        <v>0</v>
      </c>
      <c r="U222">
        <v>0</v>
      </c>
      <c r="V222">
        <v>0</v>
      </c>
      <c r="W222" t="s">
        <v>14</v>
      </c>
      <c r="X222">
        <v>59.5</v>
      </c>
    </row>
    <row r="223" spans="1:24" ht="15">
      <c r="A223">
        <v>216</v>
      </c>
      <c r="B223">
        <v>100832</v>
      </c>
      <c r="C223" t="s">
        <v>649</v>
      </c>
      <c r="D223" t="s">
        <v>12</v>
      </c>
      <c r="E223" t="s">
        <v>27</v>
      </c>
      <c r="F223" t="str">
        <f>"200811001121"</f>
        <v>200811001121</v>
      </c>
      <c r="G223">
        <v>20.43</v>
      </c>
      <c r="H223">
        <v>7</v>
      </c>
      <c r="I223">
        <v>0</v>
      </c>
      <c r="J223">
        <v>28</v>
      </c>
      <c r="K223">
        <v>28</v>
      </c>
      <c r="O223">
        <v>0</v>
      </c>
      <c r="P223">
        <v>4</v>
      </c>
      <c r="Q223">
        <v>0</v>
      </c>
      <c r="R223">
        <v>59.43</v>
      </c>
      <c r="S223">
        <v>0</v>
      </c>
      <c r="T223">
        <v>0</v>
      </c>
      <c r="U223">
        <v>0</v>
      </c>
      <c r="V223">
        <v>0</v>
      </c>
      <c r="W223" t="s">
        <v>14</v>
      </c>
      <c r="X223">
        <v>59.43</v>
      </c>
    </row>
    <row r="224" spans="1:24" ht="15">
      <c r="A224">
        <v>217</v>
      </c>
      <c r="B224">
        <v>2143</v>
      </c>
      <c r="C224" t="s">
        <v>653</v>
      </c>
      <c r="D224" t="s">
        <v>139</v>
      </c>
      <c r="E224" t="s">
        <v>124</v>
      </c>
      <c r="F224" t="str">
        <f>"00149389"</f>
        <v>00149389</v>
      </c>
      <c r="G224">
        <v>18.33</v>
      </c>
      <c r="H224">
        <v>7</v>
      </c>
      <c r="I224">
        <v>0</v>
      </c>
      <c r="J224">
        <v>20</v>
      </c>
      <c r="K224">
        <v>20</v>
      </c>
      <c r="L224">
        <v>7</v>
      </c>
      <c r="O224">
        <v>7</v>
      </c>
      <c r="P224">
        <v>4</v>
      </c>
      <c r="Q224">
        <v>0</v>
      </c>
      <c r="R224">
        <v>56.33</v>
      </c>
      <c r="S224">
        <v>0</v>
      </c>
      <c r="T224">
        <v>0</v>
      </c>
      <c r="U224">
        <v>3</v>
      </c>
      <c r="V224">
        <v>0</v>
      </c>
      <c r="W224" t="s">
        <v>14</v>
      </c>
      <c r="X224">
        <v>59.33</v>
      </c>
    </row>
    <row r="225" spans="1:24" ht="15">
      <c r="A225">
        <v>218</v>
      </c>
      <c r="B225">
        <v>102453</v>
      </c>
      <c r="C225" t="s">
        <v>656</v>
      </c>
      <c r="D225" t="s">
        <v>29</v>
      </c>
      <c r="E225" t="s">
        <v>17</v>
      </c>
      <c r="F225" t="str">
        <f>"00564298"</f>
        <v>00564298</v>
      </c>
      <c r="G225">
        <v>18.25</v>
      </c>
      <c r="H225">
        <v>0</v>
      </c>
      <c r="I225">
        <v>0</v>
      </c>
      <c r="J225">
        <v>28</v>
      </c>
      <c r="K225">
        <v>28</v>
      </c>
      <c r="N225">
        <v>3</v>
      </c>
      <c r="O225">
        <v>3</v>
      </c>
      <c r="P225">
        <v>4</v>
      </c>
      <c r="Q225">
        <v>0</v>
      </c>
      <c r="R225">
        <v>53.25</v>
      </c>
      <c r="S225">
        <v>0</v>
      </c>
      <c r="T225">
        <v>0</v>
      </c>
      <c r="U225">
        <v>6</v>
      </c>
      <c r="V225">
        <v>0</v>
      </c>
      <c r="W225" t="s">
        <v>14</v>
      </c>
      <c r="X225">
        <v>59.25</v>
      </c>
    </row>
    <row r="226" spans="1:24" ht="15">
      <c r="A226">
        <v>219</v>
      </c>
      <c r="B226">
        <v>72054</v>
      </c>
      <c r="C226" t="s">
        <v>658</v>
      </c>
      <c r="D226" t="s">
        <v>372</v>
      </c>
      <c r="E226" t="s">
        <v>12</v>
      </c>
      <c r="F226" t="str">
        <f>"00017167"</f>
        <v>00017167</v>
      </c>
      <c r="G226">
        <v>19.13</v>
      </c>
      <c r="H226">
        <v>0</v>
      </c>
      <c r="I226">
        <v>0</v>
      </c>
      <c r="J226">
        <v>28</v>
      </c>
      <c r="K226">
        <v>28</v>
      </c>
      <c r="L226">
        <v>7</v>
      </c>
      <c r="N226">
        <v>3</v>
      </c>
      <c r="O226">
        <v>10</v>
      </c>
      <c r="P226">
        <v>0</v>
      </c>
      <c r="Q226">
        <v>2</v>
      </c>
      <c r="R226">
        <v>59.13</v>
      </c>
      <c r="S226">
        <v>0</v>
      </c>
      <c r="T226">
        <v>0</v>
      </c>
      <c r="U226">
        <v>0</v>
      </c>
      <c r="V226">
        <v>0</v>
      </c>
      <c r="W226" t="s">
        <v>14</v>
      </c>
      <c r="X226">
        <v>59.13</v>
      </c>
    </row>
    <row r="227" spans="1:24" ht="15">
      <c r="A227">
        <v>220</v>
      </c>
      <c r="B227">
        <v>116230</v>
      </c>
      <c r="C227" t="s">
        <v>659</v>
      </c>
      <c r="D227" t="s">
        <v>186</v>
      </c>
      <c r="E227" t="s">
        <v>76</v>
      </c>
      <c r="F227" t="str">
        <f>"00635453"</f>
        <v>00635453</v>
      </c>
      <c r="G227">
        <v>17.13</v>
      </c>
      <c r="H227">
        <v>0</v>
      </c>
      <c r="I227">
        <v>0</v>
      </c>
      <c r="J227">
        <v>28</v>
      </c>
      <c r="K227">
        <v>28</v>
      </c>
      <c r="L227">
        <v>7</v>
      </c>
      <c r="N227">
        <v>3</v>
      </c>
      <c r="O227">
        <v>10</v>
      </c>
      <c r="P227">
        <v>4</v>
      </c>
      <c r="Q227">
        <v>0</v>
      </c>
      <c r="R227">
        <v>59.13</v>
      </c>
      <c r="S227">
        <v>0</v>
      </c>
      <c r="T227">
        <v>0</v>
      </c>
      <c r="U227">
        <v>0</v>
      </c>
      <c r="V227">
        <v>0</v>
      </c>
      <c r="W227" t="s">
        <v>14</v>
      </c>
      <c r="X227">
        <v>59.13</v>
      </c>
    </row>
    <row r="228" spans="1:24" ht="15">
      <c r="A228">
        <v>221</v>
      </c>
      <c r="B228">
        <v>69728</v>
      </c>
      <c r="C228" t="s">
        <v>660</v>
      </c>
      <c r="D228" t="s">
        <v>513</v>
      </c>
      <c r="E228" t="s">
        <v>27</v>
      </c>
      <c r="F228" t="str">
        <f>"00006570"</f>
        <v>00006570</v>
      </c>
      <c r="G228">
        <v>21.08</v>
      </c>
      <c r="H228">
        <v>0</v>
      </c>
      <c r="I228">
        <v>0</v>
      </c>
      <c r="J228">
        <v>20</v>
      </c>
      <c r="K228">
        <v>20</v>
      </c>
      <c r="L228">
        <v>14</v>
      </c>
      <c r="O228">
        <v>14</v>
      </c>
      <c r="P228">
        <v>4</v>
      </c>
      <c r="Q228">
        <v>0</v>
      </c>
      <c r="R228">
        <v>59.08</v>
      </c>
      <c r="S228">
        <v>0</v>
      </c>
      <c r="T228">
        <v>0</v>
      </c>
      <c r="U228">
        <v>0</v>
      </c>
      <c r="V228">
        <v>0</v>
      </c>
      <c r="W228" t="s">
        <v>14</v>
      </c>
      <c r="X228">
        <v>59.08</v>
      </c>
    </row>
    <row r="229" spans="1:24" ht="15">
      <c r="A229">
        <v>222</v>
      </c>
      <c r="B229">
        <v>37167</v>
      </c>
      <c r="C229" t="s">
        <v>663</v>
      </c>
      <c r="D229" t="s">
        <v>370</v>
      </c>
      <c r="E229" t="s">
        <v>27</v>
      </c>
      <c r="F229" t="str">
        <f>"200801009355"</f>
        <v>200801009355</v>
      </c>
      <c r="G229">
        <v>16.05</v>
      </c>
      <c r="H229">
        <v>7</v>
      </c>
      <c r="I229">
        <v>0</v>
      </c>
      <c r="J229">
        <v>20</v>
      </c>
      <c r="K229">
        <v>20</v>
      </c>
      <c r="L229">
        <v>7</v>
      </c>
      <c r="O229">
        <v>7</v>
      </c>
      <c r="P229">
        <v>4</v>
      </c>
      <c r="Q229">
        <v>2</v>
      </c>
      <c r="R229">
        <v>56.05</v>
      </c>
      <c r="S229">
        <v>0</v>
      </c>
      <c r="T229">
        <v>0</v>
      </c>
      <c r="U229">
        <v>3</v>
      </c>
      <c r="V229">
        <v>0</v>
      </c>
      <c r="W229" t="s">
        <v>14</v>
      </c>
      <c r="X229">
        <v>59.05</v>
      </c>
    </row>
    <row r="230" spans="1:24" ht="15">
      <c r="A230">
        <v>223</v>
      </c>
      <c r="B230">
        <v>67180</v>
      </c>
      <c r="C230" t="s">
        <v>664</v>
      </c>
      <c r="D230" t="s">
        <v>12</v>
      </c>
      <c r="E230" t="s">
        <v>30</v>
      </c>
      <c r="F230" t="str">
        <f>"200801006685"</f>
        <v>200801006685</v>
      </c>
      <c r="G230">
        <v>19.03</v>
      </c>
      <c r="H230">
        <v>7</v>
      </c>
      <c r="I230">
        <v>0</v>
      </c>
      <c r="J230">
        <v>20</v>
      </c>
      <c r="K230">
        <v>20</v>
      </c>
      <c r="N230">
        <v>3</v>
      </c>
      <c r="O230">
        <v>3</v>
      </c>
      <c r="P230">
        <v>4</v>
      </c>
      <c r="Q230">
        <v>0</v>
      </c>
      <c r="R230">
        <v>53.03</v>
      </c>
      <c r="S230">
        <v>0</v>
      </c>
      <c r="T230">
        <v>0</v>
      </c>
      <c r="U230">
        <v>6</v>
      </c>
      <c r="V230">
        <v>0</v>
      </c>
      <c r="W230" t="s">
        <v>14</v>
      </c>
      <c r="X230">
        <v>59.03</v>
      </c>
    </row>
    <row r="231" spans="1:24" ht="15">
      <c r="A231">
        <v>224</v>
      </c>
      <c r="B231">
        <v>61811</v>
      </c>
      <c r="C231" t="s">
        <v>665</v>
      </c>
      <c r="D231" t="s">
        <v>370</v>
      </c>
      <c r="E231" t="s">
        <v>93</v>
      </c>
      <c r="F231" t="str">
        <f>"201402005604"</f>
        <v>201402005604</v>
      </c>
      <c r="G231">
        <v>17.98</v>
      </c>
      <c r="H231">
        <v>0</v>
      </c>
      <c r="I231">
        <v>0</v>
      </c>
      <c r="J231">
        <v>28</v>
      </c>
      <c r="K231">
        <v>28</v>
      </c>
      <c r="L231">
        <v>7</v>
      </c>
      <c r="O231">
        <v>7</v>
      </c>
      <c r="P231">
        <v>4</v>
      </c>
      <c r="Q231">
        <v>2</v>
      </c>
      <c r="R231">
        <v>58.98</v>
      </c>
      <c r="S231">
        <v>0</v>
      </c>
      <c r="T231">
        <v>0</v>
      </c>
      <c r="U231">
        <v>0</v>
      </c>
      <c r="V231">
        <v>0</v>
      </c>
      <c r="W231" t="s">
        <v>14</v>
      </c>
      <c r="X231">
        <v>58.98</v>
      </c>
    </row>
    <row r="232" spans="1:24" ht="15">
      <c r="A232">
        <v>225</v>
      </c>
      <c r="B232">
        <v>112024</v>
      </c>
      <c r="C232" t="s">
        <v>666</v>
      </c>
      <c r="D232" t="s">
        <v>44</v>
      </c>
      <c r="E232" t="s">
        <v>27</v>
      </c>
      <c r="F232" t="str">
        <f>"00631868"</f>
        <v>00631868</v>
      </c>
      <c r="G232">
        <v>18.95</v>
      </c>
      <c r="H232">
        <v>0</v>
      </c>
      <c r="I232">
        <v>0</v>
      </c>
      <c r="J232">
        <v>28</v>
      </c>
      <c r="K232">
        <v>28</v>
      </c>
      <c r="N232">
        <v>3</v>
      </c>
      <c r="O232">
        <v>3</v>
      </c>
      <c r="P232">
        <v>4</v>
      </c>
      <c r="Q232">
        <v>2</v>
      </c>
      <c r="R232">
        <v>55.95</v>
      </c>
      <c r="S232">
        <v>0</v>
      </c>
      <c r="T232">
        <v>0</v>
      </c>
      <c r="U232">
        <v>3</v>
      </c>
      <c r="V232">
        <v>0</v>
      </c>
      <c r="W232" t="s">
        <v>14</v>
      </c>
      <c r="X232">
        <v>58.95</v>
      </c>
    </row>
    <row r="233" spans="1:24" ht="15">
      <c r="A233">
        <v>226</v>
      </c>
      <c r="B233">
        <v>22668</v>
      </c>
      <c r="C233" t="s">
        <v>670</v>
      </c>
      <c r="D233" t="s">
        <v>671</v>
      </c>
      <c r="E233" t="s">
        <v>60</v>
      </c>
      <c r="F233" t="str">
        <f>"201410006838"</f>
        <v>201410006838</v>
      </c>
      <c r="G233">
        <v>21.85</v>
      </c>
      <c r="H233">
        <v>7</v>
      </c>
      <c r="I233">
        <v>0</v>
      </c>
      <c r="J233">
        <v>20</v>
      </c>
      <c r="K233">
        <v>20</v>
      </c>
      <c r="N233">
        <v>6</v>
      </c>
      <c r="O233">
        <v>6</v>
      </c>
      <c r="P233">
        <v>4</v>
      </c>
      <c r="Q233">
        <v>0</v>
      </c>
      <c r="R233">
        <v>58.85</v>
      </c>
      <c r="S233">
        <v>0</v>
      </c>
      <c r="T233">
        <v>0</v>
      </c>
      <c r="U233">
        <v>0</v>
      </c>
      <c r="V233">
        <v>0</v>
      </c>
      <c r="W233" t="s">
        <v>14</v>
      </c>
      <c r="X233">
        <v>58.85</v>
      </c>
    </row>
    <row r="234" spans="1:24" ht="15">
      <c r="A234">
        <v>227</v>
      </c>
      <c r="B234">
        <v>41813</v>
      </c>
      <c r="C234" t="s">
        <v>678</v>
      </c>
      <c r="D234" t="s">
        <v>679</v>
      </c>
      <c r="E234" t="s">
        <v>53</v>
      </c>
      <c r="F234" t="str">
        <f>"00183782"</f>
        <v>00183782</v>
      </c>
      <c r="G234">
        <v>16.68</v>
      </c>
      <c r="H234">
        <v>7</v>
      </c>
      <c r="I234">
        <v>0</v>
      </c>
      <c r="J234">
        <v>20</v>
      </c>
      <c r="K234">
        <v>20</v>
      </c>
      <c r="M234">
        <v>5</v>
      </c>
      <c r="N234">
        <v>3</v>
      </c>
      <c r="O234">
        <v>8</v>
      </c>
      <c r="P234">
        <v>4</v>
      </c>
      <c r="Q234">
        <v>0</v>
      </c>
      <c r="R234">
        <v>55.68</v>
      </c>
      <c r="S234">
        <v>0</v>
      </c>
      <c r="T234">
        <v>0</v>
      </c>
      <c r="U234">
        <v>3</v>
      </c>
      <c r="V234">
        <v>0</v>
      </c>
      <c r="W234" t="s">
        <v>14</v>
      </c>
      <c r="X234">
        <v>58.68</v>
      </c>
    </row>
    <row r="235" spans="1:24" ht="15">
      <c r="A235">
        <v>228</v>
      </c>
      <c r="B235">
        <v>79472</v>
      </c>
      <c r="C235" t="s">
        <v>680</v>
      </c>
      <c r="D235" t="s">
        <v>53</v>
      </c>
      <c r="E235" t="s">
        <v>21</v>
      </c>
      <c r="F235" t="str">
        <f>"201504001960"</f>
        <v>201504001960</v>
      </c>
      <c r="G235">
        <v>19.68</v>
      </c>
      <c r="H235">
        <v>0</v>
      </c>
      <c r="I235">
        <v>0</v>
      </c>
      <c r="J235">
        <v>28</v>
      </c>
      <c r="K235">
        <v>28</v>
      </c>
      <c r="L235">
        <v>7</v>
      </c>
      <c r="O235">
        <v>7</v>
      </c>
      <c r="P235">
        <v>4</v>
      </c>
      <c r="Q235">
        <v>0</v>
      </c>
      <c r="R235">
        <v>58.68</v>
      </c>
      <c r="S235">
        <v>0</v>
      </c>
      <c r="T235">
        <v>0</v>
      </c>
      <c r="U235">
        <v>0</v>
      </c>
      <c r="V235">
        <v>0</v>
      </c>
      <c r="W235" t="s">
        <v>14</v>
      </c>
      <c r="X235">
        <v>58.68</v>
      </c>
    </row>
    <row r="236" spans="1:24" ht="15">
      <c r="A236">
        <v>229</v>
      </c>
      <c r="B236">
        <v>53446</v>
      </c>
      <c r="C236" t="s">
        <v>684</v>
      </c>
      <c r="D236" t="s">
        <v>16</v>
      </c>
      <c r="E236" t="s">
        <v>21</v>
      </c>
      <c r="F236" t="str">
        <f>"201512004392"</f>
        <v>201512004392</v>
      </c>
      <c r="G236">
        <v>16.58</v>
      </c>
      <c r="H236">
        <v>0</v>
      </c>
      <c r="I236">
        <v>0</v>
      </c>
      <c r="J236">
        <v>20</v>
      </c>
      <c r="K236">
        <v>20</v>
      </c>
      <c r="L236">
        <v>7</v>
      </c>
      <c r="N236">
        <v>3</v>
      </c>
      <c r="O236">
        <v>10</v>
      </c>
      <c r="P236">
        <v>4</v>
      </c>
      <c r="Q236">
        <v>2</v>
      </c>
      <c r="R236">
        <v>52.58</v>
      </c>
      <c r="S236">
        <v>0</v>
      </c>
      <c r="T236">
        <v>0</v>
      </c>
      <c r="U236">
        <v>6</v>
      </c>
      <c r="V236">
        <v>0</v>
      </c>
      <c r="W236" t="s">
        <v>14</v>
      </c>
      <c r="X236">
        <v>58.58</v>
      </c>
    </row>
    <row r="237" spans="1:24" ht="15">
      <c r="A237">
        <v>230</v>
      </c>
      <c r="B237">
        <v>64125</v>
      </c>
      <c r="C237" t="s">
        <v>685</v>
      </c>
      <c r="D237" t="s">
        <v>173</v>
      </c>
      <c r="E237" t="s">
        <v>21</v>
      </c>
      <c r="F237" t="str">
        <f>"201503000254"</f>
        <v>201503000254</v>
      </c>
      <c r="G237">
        <v>22.55</v>
      </c>
      <c r="H237">
        <v>0</v>
      </c>
      <c r="I237">
        <v>0</v>
      </c>
      <c r="J237">
        <v>20</v>
      </c>
      <c r="K237">
        <v>20</v>
      </c>
      <c r="L237">
        <v>7</v>
      </c>
      <c r="M237">
        <v>5</v>
      </c>
      <c r="O237">
        <v>12</v>
      </c>
      <c r="P237">
        <v>4</v>
      </c>
      <c r="Q237">
        <v>0</v>
      </c>
      <c r="R237">
        <v>58.55</v>
      </c>
      <c r="S237">
        <v>0</v>
      </c>
      <c r="T237">
        <v>0</v>
      </c>
      <c r="U237">
        <v>0</v>
      </c>
      <c r="V237">
        <v>0</v>
      </c>
      <c r="W237" t="s">
        <v>14</v>
      </c>
      <c r="X237">
        <v>58.55</v>
      </c>
    </row>
    <row r="238" spans="1:24" ht="15">
      <c r="A238">
        <v>231</v>
      </c>
      <c r="B238">
        <v>67019</v>
      </c>
      <c r="C238" t="s">
        <v>267</v>
      </c>
      <c r="D238" t="s">
        <v>37</v>
      </c>
      <c r="E238" t="s">
        <v>288</v>
      </c>
      <c r="F238" t="str">
        <f>"201406000231"</f>
        <v>201406000231</v>
      </c>
      <c r="G238">
        <v>19.48</v>
      </c>
      <c r="H238">
        <v>0</v>
      </c>
      <c r="I238">
        <v>0</v>
      </c>
      <c r="J238">
        <v>28</v>
      </c>
      <c r="K238">
        <v>28</v>
      </c>
      <c r="L238">
        <v>7</v>
      </c>
      <c r="O238">
        <v>7</v>
      </c>
      <c r="P238">
        <v>4</v>
      </c>
      <c r="Q238">
        <v>0</v>
      </c>
      <c r="R238">
        <v>58.48</v>
      </c>
      <c r="S238">
        <v>0</v>
      </c>
      <c r="T238">
        <v>0</v>
      </c>
      <c r="U238">
        <v>0</v>
      </c>
      <c r="V238">
        <v>0</v>
      </c>
      <c r="W238" t="s">
        <v>14</v>
      </c>
      <c r="X238">
        <v>58.48</v>
      </c>
    </row>
    <row r="239" spans="1:24" ht="15">
      <c r="A239">
        <v>232</v>
      </c>
      <c r="B239">
        <v>12413</v>
      </c>
      <c r="C239" t="s">
        <v>688</v>
      </c>
      <c r="D239" t="s">
        <v>363</v>
      </c>
      <c r="E239" t="s">
        <v>124</v>
      </c>
      <c r="F239" t="str">
        <f>"201504003433"</f>
        <v>201504003433</v>
      </c>
      <c r="G239">
        <v>19.45</v>
      </c>
      <c r="H239">
        <v>0</v>
      </c>
      <c r="I239">
        <v>0</v>
      </c>
      <c r="J239">
        <v>28</v>
      </c>
      <c r="K239">
        <v>28</v>
      </c>
      <c r="L239">
        <v>7</v>
      </c>
      <c r="O239">
        <v>7</v>
      </c>
      <c r="P239">
        <v>4</v>
      </c>
      <c r="Q239">
        <v>0</v>
      </c>
      <c r="R239">
        <v>58.45</v>
      </c>
      <c r="S239">
        <v>0</v>
      </c>
      <c r="T239">
        <v>0</v>
      </c>
      <c r="U239">
        <v>0</v>
      </c>
      <c r="V239">
        <v>0</v>
      </c>
      <c r="W239" t="s">
        <v>14</v>
      </c>
      <c r="X239">
        <v>58.45</v>
      </c>
    </row>
    <row r="240" spans="1:24" ht="15">
      <c r="A240">
        <v>233</v>
      </c>
      <c r="B240">
        <v>25183</v>
      </c>
      <c r="C240" t="s">
        <v>691</v>
      </c>
      <c r="D240" t="s">
        <v>692</v>
      </c>
      <c r="E240" t="s">
        <v>60</v>
      </c>
      <c r="F240" t="str">
        <f>"201402008115"</f>
        <v>201402008115</v>
      </c>
      <c r="G240">
        <v>17.43</v>
      </c>
      <c r="H240">
        <v>0</v>
      </c>
      <c r="I240">
        <v>0</v>
      </c>
      <c r="J240">
        <v>28</v>
      </c>
      <c r="K240">
        <v>28</v>
      </c>
      <c r="L240">
        <v>7</v>
      </c>
      <c r="O240">
        <v>7</v>
      </c>
      <c r="P240">
        <v>4</v>
      </c>
      <c r="Q240">
        <v>2</v>
      </c>
      <c r="R240">
        <v>58.43</v>
      </c>
      <c r="S240">
        <v>0</v>
      </c>
      <c r="T240">
        <v>0</v>
      </c>
      <c r="U240">
        <v>0</v>
      </c>
      <c r="V240">
        <v>0</v>
      </c>
      <c r="W240" t="s">
        <v>14</v>
      </c>
      <c r="X240">
        <v>58.43</v>
      </c>
    </row>
    <row r="241" spans="1:24" ht="15">
      <c r="A241">
        <v>234</v>
      </c>
      <c r="B241">
        <v>107435</v>
      </c>
      <c r="C241" t="s">
        <v>694</v>
      </c>
      <c r="D241" t="s">
        <v>66</v>
      </c>
      <c r="E241" t="s">
        <v>240</v>
      </c>
      <c r="F241" t="str">
        <f>"201504000311"</f>
        <v>201504000311</v>
      </c>
      <c r="G241">
        <v>18.33</v>
      </c>
      <c r="H241">
        <v>0</v>
      </c>
      <c r="I241">
        <v>0</v>
      </c>
      <c r="J241">
        <v>28</v>
      </c>
      <c r="K241">
        <v>28</v>
      </c>
      <c r="N241">
        <v>3</v>
      </c>
      <c r="O241">
        <v>3</v>
      </c>
      <c r="P241">
        <v>4</v>
      </c>
      <c r="Q241">
        <v>2</v>
      </c>
      <c r="R241">
        <v>55.33</v>
      </c>
      <c r="S241">
        <v>0</v>
      </c>
      <c r="T241">
        <v>0</v>
      </c>
      <c r="U241">
        <v>3</v>
      </c>
      <c r="V241">
        <v>0</v>
      </c>
      <c r="W241" t="s">
        <v>14</v>
      </c>
      <c r="X241">
        <v>58.33</v>
      </c>
    </row>
    <row r="242" spans="1:24" ht="15">
      <c r="A242">
        <v>235</v>
      </c>
      <c r="B242">
        <v>20822</v>
      </c>
      <c r="C242" t="s">
        <v>695</v>
      </c>
      <c r="D242" t="s">
        <v>696</v>
      </c>
      <c r="E242" t="s">
        <v>21</v>
      </c>
      <c r="F242" t="str">
        <f>"201402005656"</f>
        <v>201402005656</v>
      </c>
      <c r="G242">
        <v>20.28</v>
      </c>
      <c r="H242">
        <v>0</v>
      </c>
      <c r="I242">
        <v>0</v>
      </c>
      <c r="J242">
        <v>20</v>
      </c>
      <c r="K242">
        <v>20</v>
      </c>
      <c r="L242">
        <v>14</v>
      </c>
      <c r="O242">
        <v>14</v>
      </c>
      <c r="P242">
        <v>4</v>
      </c>
      <c r="Q242">
        <v>0</v>
      </c>
      <c r="R242">
        <v>58.28</v>
      </c>
      <c r="S242">
        <v>0</v>
      </c>
      <c r="T242">
        <v>0</v>
      </c>
      <c r="U242">
        <v>0</v>
      </c>
      <c r="V242">
        <v>0</v>
      </c>
      <c r="W242" t="s">
        <v>14</v>
      </c>
      <c r="X242">
        <v>58.28</v>
      </c>
    </row>
    <row r="243" spans="1:24" ht="15">
      <c r="A243">
        <v>236</v>
      </c>
      <c r="B243">
        <v>55952</v>
      </c>
      <c r="C243" t="s">
        <v>697</v>
      </c>
      <c r="D243" t="s">
        <v>478</v>
      </c>
      <c r="E243" t="s">
        <v>17</v>
      </c>
      <c r="F243" t="str">
        <f>"00005173"</f>
        <v>00005173</v>
      </c>
      <c r="G243">
        <v>18.25</v>
      </c>
      <c r="H243">
        <v>0</v>
      </c>
      <c r="I243">
        <v>0</v>
      </c>
      <c r="J243">
        <v>20</v>
      </c>
      <c r="K243">
        <v>20</v>
      </c>
      <c r="L243">
        <v>7</v>
      </c>
      <c r="O243">
        <v>7</v>
      </c>
      <c r="P243">
        <v>4</v>
      </c>
      <c r="Q243">
        <v>0</v>
      </c>
      <c r="R243">
        <v>49.25</v>
      </c>
      <c r="S243">
        <v>0</v>
      </c>
      <c r="T243">
        <v>0</v>
      </c>
      <c r="U243">
        <v>9</v>
      </c>
      <c r="V243">
        <v>0</v>
      </c>
      <c r="W243" t="s">
        <v>14</v>
      </c>
      <c r="X243">
        <v>58.25</v>
      </c>
    </row>
    <row r="244" spans="1:24" ht="15">
      <c r="A244">
        <v>237</v>
      </c>
      <c r="B244">
        <v>13900</v>
      </c>
      <c r="C244" t="s">
        <v>698</v>
      </c>
      <c r="D244" t="s">
        <v>80</v>
      </c>
      <c r="E244" t="s">
        <v>273</v>
      </c>
      <c r="F244" t="str">
        <f>"00584195"</f>
        <v>00584195</v>
      </c>
      <c r="G244">
        <v>15.23</v>
      </c>
      <c r="H244">
        <v>0</v>
      </c>
      <c r="I244">
        <v>0</v>
      </c>
      <c r="J244">
        <v>0</v>
      </c>
      <c r="K244">
        <v>0</v>
      </c>
      <c r="O244">
        <v>0</v>
      </c>
      <c r="P244">
        <v>4</v>
      </c>
      <c r="Q244">
        <v>0</v>
      </c>
      <c r="R244">
        <v>19.23</v>
      </c>
      <c r="S244">
        <v>33</v>
      </c>
      <c r="T244">
        <v>33</v>
      </c>
      <c r="U244">
        <v>6</v>
      </c>
      <c r="V244">
        <v>0</v>
      </c>
      <c r="W244" t="s">
        <v>14</v>
      </c>
      <c r="X244">
        <v>58.23</v>
      </c>
    </row>
    <row r="245" spans="1:24" ht="15">
      <c r="A245">
        <v>238</v>
      </c>
      <c r="B245">
        <v>21957</v>
      </c>
      <c r="C245" t="s">
        <v>699</v>
      </c>
      <c r="D245" t="s">
        <v>236</v>
      </c>
      <c r="E245" t="s">
        <v>21</v>
      </c>
      <c r="F245" t="str">
        <f>"00507380"</f>
        <v>00507380</v>
      </c>
      <c r="G245">
        <v>19.18</v>
      </c>
      <c r="H245">
        <v>0</v>
      </c>
      <c r="I245">
        <v>0</v>
      </c>
      <c r="J245">
        <v>20</v>
      </c>
      <c r="K245">
        <v>20</v>
      </c>
      <c r="L245">
        <v>7</v>
      </c>
      <c r="N245">
        <v>3</v>
      </c>
      <c r="O245">
        <v>10</v>
      </c>
      <c r="P245">
        <v>4</v>
      </c>
      <c r="Q245">
        <v>2</v>
      </c>
      <c r="R245">
        <v>55.18</v>
      </c>
      <c r="S245">
        <v>0</v>
      </c>
      <c r="T245">
        <v>0</v>
      </c>
      <c r="U245">
        <v>3</v>
      </c>
      <c r="V245">
        <v>0</v>
      </c>
      <c r="W245" t="s">
        <v>14</v>
      </c>
      <c r="X245">
        <v>58.18</v>
      </c>
    </row>
    <row r="246" spans="1:24" ht="15">
      <c r="A246">
        <v>239</v>
      </c>
      <c r="B246">
        <v>71507</v>
      </c>
      <c r="C246" t="s">
        <v>702</v>
      </c>
      <c r="D246" t="s">
        <v>370</v>
      </c>
      <c r="E246" t="s">
        <v>106</v>
      </c>
      <c r="F246" t="str">
        <f>"00570259"</f>
        <v>00570259</v>
      </c>
      <c r="G246">
        <v>19.08</v>
      </c>
      <c r="H246">
        <v>0</v>
      </c>
      <c r="I246">
        <v>0</v>
      </c>
      <c r="J246">
        <v>28</v>
      </c>
      <c r="K246">
        <v>28</v>
      </c>
      <c r="L246">
        <v>7</v>
      </c>
      <c r="O246">
        <v>7</v>
      </c>
      <c r="P246">
        <v>4</v>
      </c>
      <c r="Q246">
        <v>0</v>
      </c>
      <c r="R246">
        <v>58.08</v>
      </c>
      <c r="S246">
        <v>0</v>
      </c>
      <c r="T246">
        <v>0</v>
      </c>
      <c r="U246">
        <v>0</v>
      </c>
      <c r="V246">
        <v>0</v>
      </c>
      <c r="W246" t="s">
        <v>14</v>
      </c>
      <c r="X246">
        <v>58.08</v>
      </c>
    </row>
    <row r="247" spans="1:24" ht="15">
      <c r="A247">
        <v>240</v>
      </c>
      <c r="B247">
        <v>105049</v>
      </c>
      <c r="C247" t="s">
        <v>597</v>
      </c>
      <c r="D247" t="s">
        <v>278</v>
      </c>
      <c r="E247" t="s">
        <v>21</v>
      </c>
      <c r="F247" t="str">
        <f>"00574782"</f>
        <v>00574782</v>
      </c>
      <c r="G247">
        <v>17.03</v>
      </c>
      <c r="H247">
        <v>0</v>
      </c>
      <c r="I247">
        <v>0</v>
      </c>
      <c r="J247">
        <v>28</v>
      </c>
      <c r="K247">
        <v>28</v>
      </c>
      <c r="L247">
        <v>7</v>
      </c>
      <c r="O247">
        <v>7</v>
      </c>
      <c r="P247">
        <v>4</v>
      </c>
      <c r="Q247">
        <v>2</v>
      </c>
      <c r="R247">
        <v>58.03</v>
      </c>
      <c r="S247">
        <v>0</v>
      </c>
      <c r="T247">
        <v>0</v>
      </c>
      <c r="U247">
        <v>0</v>
      </c>
      <c r="V247">
        <v>0</v>
      </c>
      <c r="W247" t="s">
        <v>14</v>
      </c>
      <c r="X247">
        <v>58.03</v>
      </c>
    </row>
    <row r="248" spans="1:24" ht="15">
      <c r="A248">
        <v>241</v>
      </c>
      <c r="B248">
        <v>8232</v>
      </c>
      <c r="C248" t="s">
        <v>703</v>
      </c>
      <c r="D248" t="s">
        <v>252</v>
      </c>
      <c r="E248" t="s">
        <v>288</v>
      </c>
      <c r="F248" t="str">
        <f>"00084471"</f>
        <v>00084471</v>
      </c>
      <c r="G248">
        <v>17</v>
      </c>
      <c r="H248">
        <v>0</v>
      </c>
      <c r="I248">
        <v>0</v>
      </c>
      <c r="J248">
        <v>20</v>
      </c>
      <c r="K248">
        <v>20</v>
      </c>
      <c r="L248">
        <v>14</v>
      </c>
      <c r="O248">
        <v>14</v>
      </c>
      <c r="P248">
        <v>4</v>
      </c>
      <c r="Q248">
        <v>0</v>
      </c>
      <c r="R248">
        <v>55</v>
      </c>
      <c r="S248">
        <v>3</v>
      </c>
      <c r="T248">
        <v>3</v>
      </c>
      <c r="U248">
        <v>0</v>
      </c>
      <c r="V248">
        <v>0</v>
      </c>
      <c r="W248" t="s">
        <v>14</v>
      </c>
      <c r="X248">
        <v>58</v>
      </c>
    </row>
    <row r="249" spans="1:24" ht="15">
      <c r="A249">
        <v>242</v>
      </c>
      <c r="B249">
        <v>76009</v>
      </c>
      <c r="C249" t="s">
        <v>704</v>
      </c>
      <c r="D249" t="s">
        <v>705</v>
      </c>
      <c r="E249" t="s">
        <v>80</v>
      </c>
      <c r="F249" t="str">
        <f>"201512000781"</f>
        <v>201512000781</v>
      </c>
      <c r="G249">
        <v>17.98</v>
      </c>
      <c r="H249">
        <v>0</v>
      </c>
      <c r="I249">
        <v>0</v>
      </c>
      <c r="J249">
        <v>20</v>
      </c>
      <c r="K249">
        <v>20</v>
      </c>
      <c r="L249">
        <v>7</v>
      </c>
      <c r="M249">
        <v>5</v>
      </c>
      <c r="O249">
        <v>12</v>
      </c>
      <c r="P249">
        <v>4</v>
      </c>
      <c r="Q249">
        <v>2</v>
      </c>
      <c r="R249">
        <v>55.98</v>
      </c>
      <c r="S249">
        <v>2</v>
      </c>
      <c r="T249">
        <v>2</v>
      </c>
      <c r="U249">
        <v>0</v>
      </c>
      <c r="V249">
        <v>0</v>
      </c>
      <c r="W249" t="s">
        <v>14</v>
      </c>
      <c r="X249">
        <v>57.98</v>
      </c>
    </row>
    <row r="250" spans="1:24" ht="15">
      <c r="A250">
        <v>243</v>
      </c>
      <c r="B250">
        <v>24911</v>
      </c>
      <c r="C250" t="s">
        <v>706</v>
      </c>
      <c r="D250" t="s">
        <v>363</v>
      </c>
      <c r="E250" t="s">
        <v>17</v>
      </c>
      <c r="F250" t="str">
        <f>"201511024890"</f>
        <v>201511024890</v>
      </c>
      <c r="G250">
        <v>17.9</v>
      </c>
      <c r="H250">
        <v>0</v>
      </c>
      <c r="I250">
        <v>0</v>
      </c>
      <c r="J250">
        <v>20</v>
      </c>
      <c r="K250">
        <v>20</v>
      </c>
      <c r="L250">
        <v>7</v>
      </c>
      <c r="N250">
        <v>3</v>
      </c>
      <c r="O250">
        <v>10</v>
      </c>
      <c r="P250">
        <v>4</v>
      </c>
      <c r="Q250">
        <v>0</v>
      </c>
      <c r="R250">
        <v>51.9</v>
      </c>
      <c r="S250">
        <v>0</v>
      </c>
      <c r="T250">
        <v>0</v>
      </c>
      <c r="U250">
        <v>6</v>
      </c>
      <c r="V250">
        <v>0</v>
      </c>
      <c r="W250" t="s">
        <v>14</v>
      </c>
      <c r="X250">
        <v>57.9</v>
      </c>
    </row>
    <row r="251" spans="1:24" ht="15">
      <c r="A251">
        <v>244</v>
      </c>
      <c r="B251">
        <v>57071</v>
      </c>
      <c r="C251" t="s">
        <v>710</v>
      </c>
      <c r="D251" t="s">
        <v>91</v>
      </c>
      <c r="E251" t="s">
        <v>21</v>
      </c>
      <c r="F251" t="str">
        <f>"00623334"</f>
        <v>00623334</v>
      </c>
      <c r="G251">
        <v>18.85</v>
      </c>
      <c r="H251">
        <v>0</v>
      </c>
      <c r="I251">
        <v>0</v>
      </c>
      <c r="J251">
        <v>28</v>
      </c>
      <c r="K251">
        <v>28</v>
      </c>
      <c r="L251">
        <v>7</v>
      </c>
      <c r="O251">
        <v>7</v>
      </c>
      <c r="P251">
        <v>4</v>
      </c>
      <c r="Q251">
        <v>0</v>
      </c>
      <c r="R251">
        <v>57.85</v>
      </c>
      <c r="S251">
        <v>0</v>
      </c>
      <c r="T251">
        <v>0</v>
      </c>
      <c r="U251">
        <v>0</v>
      </c>
      <c r="V251">
        <v>0</v>
      </c>
      <c r="W251" t="s">
        <v>14</v>
      </c>
      <c r="X251">
        <v>57.85</v>
      </c>
    </row>
    <row r="252" spans="1:24" ht="15">
      <c r="A252">
        <v>245</v>
      </c>
      <c r="B252">
        <v>98770</v>
      </c>
      <c r="C252" t="s">
        <v>711</v>
      </c>
      <c r="D252" t="s">
        <v>46</v>
      </c>
      <c r="E252" t="s">
        <v>17</v>
      </c>
      <c r="F252" t="str">
        <f>"201406007890"</f>
        <v>201406007890</v>
      </c>
      <c r="G252">
        <v>17.85</v>
      </c>
      <c r="H252">
        <v>7</v>
      </c>
      <c r="I252">
        <v>0</v>
      </c>
      <c r="J252">
        <v>20</v>
      </c>
      <c r="K252">
        <v>20</v>
      </c>
      <c r="L252">
        <v>7</v>
      </c>
      <c r="O252">
        <v>7</v>
      </c>
      <c r="P252">
        <v>4</v>
      </c>
      <c r="Q252">
        <v>2</v>
      </c>
      <c r="R252">
        <v>57.85</v>
      </c>
      <c r="S252">
        <v>0</v>
      </c>
      <c r="T252">
        <v>0</v>
      </c>
      <c r="U252">
        <v>0</v>
      </c>
      <c r="V252">
        <v>0</v>
      </c>
      <c r="W252" t="s">
        <v>14</v>
      </c>
      <c r="X252">
        <v>57.85</v>
      </c>
    </row>
    <row r="253" spans="1:24" ht="15">
      <c r="A253">
        <v>246</v>
      </c>
      <c r="B253">
        <v>1954</v>
      </c>
      <c r="C253" t="s">
        <v>714</v>
      </c>
      <c r="D253" t="s">
        <v>27</v>
      </c>
      <c r="E253" t="s">
        <v>715</v>
      </c>
      <c r="F253" t="str">
        <f>"00167505"</f>
        <v>00167505</v>
      </c>
      <c r="G253">
        <v>17.83</v>
      </c>
      <c r="H253">
        <v>0</v>
      </c>
      <c r="I253">
        <v>0</v>
      </c>
      <c r="J253">
        <v>28</v>
      </c>
      <c r="K253">
        <v>28</v>
      </c>
      <c r="M253">
        <v>5</v>
      </c>
      <c r="N253">
        <v>3</v>
      </c>
      <c r="O253">
        <v>8</v>
      </c>
      <c r="P253">
        <v>4</v>
      </c>
      <c r="Q253">
        <v>0</v>
      </c>
      <c r="R253">
        <v>57.83</v>
      </c>
      <c r="S253">
        <v>0</v>
      </c>
      <c r="T253">
        <v>0</v>
      </c>
      <c r="U253">
        <v>0</v>
      </c>
      <c r="V253">
        <v>0</v>
      </c>
      <c r="W253" t="s">
        <v>14</v>
      </c>
      <c r="X253">
        <v>57.83</v>
      </c>
    </row>
    <row r="254" spans="1:24" ht="15">
      <c r="A254">
        <v>247</v>
      </c>
      <c r="B254">
        <v>90210</v>
      </c>
      <c r="C254" t="s">
        <v>716</v>
      </c>
      <c r="D254" t="s">
        <v>180</v>
      </c>
      <c r="E254" t="s">
        <v>23</v>
      </c>
      <c r="F254" t="str">
        <f>"00636304"</f>
        <v>00636304</v>
      </c>
      <c r="G254">
        <v>16.8</v>
      </c>
      <c r="H254">
        <v>0</v>
      </c>
      <c r="I254">
        <v>0</v>
      </c>
      <c r="J254">
        <v>0</v>
      </c>
      <c r="K254">
        <v>0</v>
      </c>
      <c r="O254">
        <v>0</v>
      </c>
      <c r="P254">
        <v>4</v>
      </c>
      <c r="Q254">
        <v>2</v>
      </c>
      <c r="R254">
        <v>22.8</v>
      </c>
      <c r="S254">
        <v>29</v>
      </c>
      <c r="T254">
        <v>29</v>
      </c>
      <c r="U254">
        <v>6</v>
      </c>
      <c r="V254">
        <v>0</v>
      </c>
      <c r="W254" t="s">
        <v>14</v>
      </c>
      <c r="X254">
        <v>57.8</v>
      </c>
    </row>
    <row r="255" spans="1:24" ht="15">
      <c r="A255">
        <v>248</v>
      </c>
      <c r="B255">
        <v>39157</v>
      </c>
      <c r="C255" t="s">
        <v>725</v>
      </c>
      <c r="D255" t="s">
        <v>571</v>
      </c>
      <c r="E255" t="s">
        <v>91</v>
      </c>
      <c r="F255" t="str">
        <f>"00456841"</f>
        <v>00456841</v>
      </c>
      <c r="G255">
        <v>21.7</v>
      </c>
      <c r="H255">
        <v>0</v>
      </c>
      <c r="I255">
        <v>0</v>
      </c>
      <c r="J255">
        <v>20</v>
      </c>
      <c r="K255">
        <v>20</v>
      </c>
      <c r="L255">
        <v>7</v>
      </c>
      <c r="N255">
        <v>3</v>
      </c>
      <c r="O255">
        <v>10</v>
      </c>
      <c r="P255">
        <v>4</v>
      </c>
      <c r="Q255">
        <v>2</v>
      </c>
      <c r="R255">
        <v>57.7</v>
      </c>
      <c r="S255">
        <v>0</v>
      </c>
      <c r="T255">
        <v>0</v>
      </c>
      <c r="U255">
        <v>0</v>
      </c>
      <c r="V255">
        <v>0</v>
      </c>
      <c r="W255" t="s">
        <v>14</v>
      </c>
      <c r="X255">
        <v>57.7</v>
      </c>
    </row>
    <row r="256" spans="1:24" ht="15">
      <c r="A256">
        <v>249</v>
      </c>
      <c r="B256">
        <v>32656</v>
      </c>
      <c r="C256" t="s">
        <v>726</v>
      </c>
      <c r="D256" t="s">
        <v>120</v>
      </c>
      <c r="E256" t="s">
        <v>17</v>
      </c>
      <c r="F256" t="str">
        <f>"00637449"</f>
        <v>00637449</v>
      </c>
      <c r="G256">
        <v>21.6</v>
      </c>
      <c r="H256">
        <v>0</v>
      </c>
      <c r="I256">
        <v>0</v>
      </c>
      <c r="J256">
        <v>20</v>
      </c>
      <c r="K256">
        <v>20</v>
      </c>
      <c r="L256">
        <v>7</v>
      </c>
      <c r="N256">
        <v>3</v>
      </c>
      <c r="O256">
        <v>10</v>
      </c>
      <c r="P256">
        <v>0</v>
      </c>
      <c r="Q256">
        <v>0</v>
      </c>
      <c r="R256">
        <v>51.6</v>
      </c>
      <c r="S256">
        <v>0</v>
      </c>
      <c r="T256">
        <v>0</v>
      </c>
      <c r="U256">
        <v>6</v>
      </c>
      <c r="V256">
        <v>0</v>
      </c>
      <c r="W256" t="s">
        <v>14</v>
      </c>
      <c r="X256">
        <v>57.6</v>
      </c>
    </row>
    <row r="257" spans="1:24" ht="15">
      <c r="A257">
        <v>250</v>
      </c>
      <c r="B257">
        <v>7533</v>
      </c>
      <c r="C257" t="s">
        <v>727</v>
      </c>
      <c r="D257" t="s">
        <v>728</v>
      </c>
      <c r="E257" t="s">
        <v>27</v>
      </c>
      <c r="F257" t="str">
        <f>"201504004672"</f>
        <v>201504004672</v>
      </c>
      <c r="G257">
        <v>18.6</v>
      </c>
      <c r="H257">
        <v>0</v>
      </c>
      <c r="I257">
        <v>0</v>
      </c>
      <c r="J257">
        <v>20</v>
      </c>
      <c r="K257">
        <v>20</v>
      </c>
      <c r="L257">
        <v>7</v>
      </c>
      <c r="M257">
        <v>5</v>
      </c>
      <c r="O257">
        <v>12</v>
      </c>
      <c r="P257">
        <v>4</v>
      </c>
      <c r="Q257">
        <v>0</v>
      </c>
      <c r="R257">
        <v>54.6</v>
      </c>
      <c r="S257">
        <v>0</v>
      </c>
      <c r="T257">
        <v>0</v>
      </c>
      <c r="U257">
        <v>3</v>
      </c>
      <c r="V257">
        <v>0</v>
      </c>
      <c r="W257" t="s">
        <v>14</v>
      </c>
      <c r="X257">
        <v>57.6</v>
      </c>
    </row>
    <row r="258" spans="1:24" ht="15">
      <c r="A258">
        <v>251</v>
      </c>
      <c r="B258">
        <v>54363</v>
      </c>
      <c r="C258" t="s">
        <v>729</v>
      </c>
      <c r="D258" t="s">
        <v>50</v>
      </c>
      <c r="E258" t="s">
        <v>730</v>
      </c>
      <c r="F258" t="str">
        <f>"200801004683"</f>
        <v>200801004683</v>
      </c>
      <c r="G258">
        <v>20.58</v>
      </c>
      <c r="H258">
        <v>0</v>
      </c>
      <c r="I258">
        <v>0</v>
      </c>
      <c r="J258">
        <v>20</v>
      </c>
      <c r="K258">
        <v>20</v>
      </c>
      <c r="L258">
        <v>7</v>
      </c>
      <c r="N258">
        <v>3</v>
      </c>
      <c r="O258">
        <v>10</v>
      </c>
      <c r="P258">
        <v>4</v>
      </c>
      <c r="Q258">
        <v>0</v>
      </c>
      <c r="R258">
        <v>54.58</v>
      </c>
      <c r="S258">
        <v>0</v>
      </c>
      <c r="T258">
        <v>0</v>
      </c>
      <c r="U258">
        <v>3</v>
      </c>
      <c r="V258">
        <v>0</v>
      </c>
      <c r="W258" t="s">
        <v>14</v>
      </c>
      <c r="X258">
        <v>57.58</v>
      </c>
    </row>
    <row r="259" spans="1:24" ht="15">
      <c r="A259">
        <v>252</v>
      </c>
      <c r="B259">
        <v>32749</v>
      </c>
      <c r="C259" t="s">
        <v>733</v>
      </c>
      <c r="D259" t="s">
        <v>97</v>
      </c>
      <c r="E259" t="s">
        <v>21</v>
      </c>
      <c r="F259" t="str">
        <f>"00628172"</f>
        <v>00628172</v>
      </c>
      <c r="G259">
        <v>20.53</v>
      </c>
      <c r="H259">
        <v>7</v>
      </c>
      <c r="I259">
        <v>0</v>
      </c>
      <c r="J259">
        <v>20</v>
      </c>
      <c r="K259">
        <v>20</v>
      </c>
      <c r="L259">
        <v>7</v>
      </c>
      <c r="N259">
        <v>3</v>
      </c>
      <c r="O259">
        <v>10</v>
      </c>
      <c r="P259">
        <v>0</v>
      </c>
      <c r="Q259">
        <v>0</v>
      </c>
      <c r="R259">
        <v>57.53</v>
      </c>
      <c r="S259">
        <v>0</v>
      </c>
      <c r="T259">
        <v>0</v>
      </c>
      <c r="U259">
        <v>0</v>
      </c>
      <c r="V259">
        <v>0</v>
      </c>
      <c r="W259" t="s">
        <v>14</v>
      </c>
      <c r="X259">
        <v>57.53</v>
      </c>
    </row>
    <row r="260" spans="1:24" ht="15">
      <c r="A260">
        <v>253</v>
      </c>
      <c r="B260">
        <v>106861</v>
      </c>
      <c r="C260" t="s">
        <v>275</v>
      </c>
      <c r="D260" t="s">
        <v>46</v>
      </c>
      <c r="E260" t="s">
        <v>207</v>
      </c>
      <c r="F260" t="str">
        <f>"00465612"</f>
        <v>00465612</v>
      </c>
      <c r="G260">
        <v>21.5</v>
      </c>
      <c r="H260">
        <v>0</v>
      </c>
      <c r="I260">
        <v>0</v>
      </c>
      <c r="J260">
        <v>20</v>
      </c>
      <c r="K260">
        <v>20</v>
      </c>
      <c r="L260">
        <v>7</v>
      </c>
      <c r="M260">
        <v>5</v>
      </c>
      <c r="O260">
        <v>12</v>
      </c>
      <c r="P260">
        <v>4</v>
      </c>
      <c r="Q260">
        <v>0</v>
      </c>
      <c r="R260">
        <v>57.5</v>
      </c>
      <c r="S260">
        <v>0</v>
      </c>
      <c r="T260">
        <v>0</v>
      </c>
      <c r="U260">
        <v>0</v>
      </c>
      <c r="V260">
        <v>0</v>
      </c>
      <c r="W260" t="s">
        <v>14</v>
      </c>
      <c r="X260">
        <v>57.5</v>
      </c>
    </row>
    <row r="261" spans="1:24" ht="15">
      <c r="A261">
        <v>254</v>
      </c>
      <c r="B261">
        <v>36313</v>
      </c>
      <c r="C261" t="s">
        <v>744</v>
      </c>
      <c r="D261" t="s">
        <v>180</v>
      </c>
      <c r="E261" t="s">
        <v>111</v>
      </c>
      <c r="F261" t="str">
        <f>"00155812"</f>
        <v>00155812</v>
      </c>
      <c r="G261">
        <v>16.43</v>
      </c>
      <c r="H261">
        <v>0</v>
      </c>
      <c r="I261">
        <v>0</v>
      </c>
      <c r="J261">
        <v>20</v>
      </c>
      <c r="K261">
        <v>20</v>
      </c>
      <c r="L261">
        <v>7</v>
      </c>
      <c r="O261">
        <v>7</v>
      </c>
      <c r="P261">
        <v>4</v>
      </c>
      <c r="Q261">
        <v>0</v>
      </c>
      <c r="R261">
        <v>47.43</v>
      </c>
      <c r="S261">
        <v>7</v>
      </c>
      <c r="T261">
        <v>7</v>
      </c>
      <c r="U261">
        <v>3</v>
      </c>
      <c r="V261">
        <v>0</v>
      </c>
      <c r="W261" t="s">
        <v>14</v>
      </c>
      <c r="X261">
        <v>57.43</v>
      </c>
    </row>
    <row r="262" spans="1:24" ht="15">
      <c r="A262">
        <v>255</v>
      </c>
      <c r="B262">
        <v>24187</v>
      </c>
      <c r="C262" t="s">
        <v>753</v>
      </c>
      <c r="D262" t="s">
        <v>182</v>
      </c>
      <c r="E262" t="s">
        <v>44</v>
      </c>
      <c r="F262" t="str">
        <f>"00537255"</f>
        <v>00537255</v>
      </c>
      <c r="G262">
        <v>16.33</v>
      </c>
      <c r="H262">
        <v>0</v>
      </c>
      <c r="I262">
        <v>0</v>
      </c>
      <c r="J262">
        <v>28</v>
      </c>
      <c r="K262">
        <v>28</v>
      </c>
      <c r="N262">
        <v>3</v>
      </c>
      <c r="O262">
        <v>3</v>
      </c>
      <c r="P262">
        <v>4</v>
      </c>
      <c r="Q262">
        <v>0</v>
      </c>
      <c r="R262">
        <v>51.33</v>
      </c>
      <c r="S262">
        <v>0</v>
      </c>
      <c r="T262">
        <v>0</v>
      </c>
      <c r="U262">
        <v>6</v>
      </c>
      <c r="V262">
        <v>0</v>
      </c>
      <c r="W262" t="s">
        <v>14</v>
      </c>
      <c r="X262">
        <v>57.33</v>
      </c>
    </row>
    <row r="263" spans="1:24" ht="15">
      <c r="A263">
        <v>256</v>
      </c>
      <c r="B263">
        <v>61406</v>
      </c>
      <c r="C263" t="s">
        <v>232</v>
      </c>
      <c r="D263" t="s">
        <v>173</v>
      </c>
      <c r="E263" t="s">
        <v>80</v>
      </c>
      <c r="F263" t="str">
        <f>"201511032759"</f>
        <v>201511032759</v>
      </c>
      <c r="G263">
        <v>15.33</v>
      </c>
      <c r="H263">
        <v>7</v>
      </c>
      <c r="I263">
        <v>0</v>
      </c>
      <c r="J263">
        <v>20</v>
      </c>
      <c r="K263">
        <v>20</v>
      </c>
      <c r="M263">
        <v>5</v>
      </c>
      <c r="O263">
        <v>5</v>
      </c>
      <c r="P263">
        <v>4</v>
      </c>
      <c r="Q263">
        <v>0</v>
      </c>
      <c r="R263">
        <v>51.33</v>
      </c>
      <c r="S263">
        <v>0</v>
      </c>
      <c r="T263">
        <v>0</v>
      </c>
      <c r="U263">
        <v>6</v>
      </c>
      <c r="V263">
        <v>0</v>
      </c>
      <c r="W263" t="s">
        <v>14</v>
      </c>
      <c r="X263">
        <v>57.33</v>
      </c>
    </row>
    <row r="264" spans="1:24" ht="15">
      <c r="A264">
        <v>257</v>
      </c>
      <c r="B264">
        <v>7641</v>
      </c>
      <c r="C264" t="s">
        <v>440</v>
      </c>
      <c r="D264" t="s">
        <v>30</v>
      </c>
      <c r="E264" t="s">
        <v>124</v>
      </c>
      <c r="F264" t="str">
        <f>"201511017783"</f>
        <v>201511017783</v>
      </c>
      <c r="G264">
        <v>23.33</v>
      </c>
      <c r="H264">
        <v>0</v>
      </c>
      <c r="I264">
        <v>0</v>
      </c>
      <c r="J264">
        <v>20</v>
      </c>
      <c r="K264">
        <v>20</v>
      </c>
      <c r="L264">
        <v>7</v>
      </c>
      <c r="N264">
        <v>3</v>
      </c>
      <c r="O264">
        <v>10</v>
      </c>
      <c r="P264">
        <v>4</v>
      </c>
      <c r="Q264">
        <v>0</v>
      </c>
      <c r="R264">
        <v>57.33</v>
      </c>
      <c r="S264">
        <v>0</v>
      </c>
      <c r="T264">
        <v>0</v>
      </c>
      <c r="U264">
        <v>0</v>
      </c>
      <c r="V264">
        <v>0</v>
      </c>
      <c r="W264" t="s">
        <v>14</v>
      </c>
      <c r="X264">
        <v>57.33</v>
      </c>
    </row>
    <row r="265" spans="1:24" ht="15">
      <c r="A265">
        <v>258</v>
      </c>
      <c r="B265">
        <v>3784</v>
      </c>
      <c r="C265" t="s">
        <v>754</v>
      </c>
      <c r="D265" t="s">
        <v>46</v>
      </c>
      <c r="E265" t="s">
        <v>27</v>
      </c>
      <c r="F265" t="str">
        <f>"00607109"</f>
        <v>00607109</v>
      </c>
      <c r="G265">
        <v>17.3</v>
      </c>
      <c r="H265">
        <v>0</v>
      </c>
      <c r="I265">
        <v>0</v>
      </c>
      <c r="J265">
        <v>0</v>
      </c>
      <c r="K265">
        <v>0</v>
      </c>
      <c r="O265">
        <v>0</v>
      </c>
      <c r="P265">
        <v>0</v>
      </c>
      <c r="Q265">
        <v>0</v>
      </c>
      <c r="R265">
        <v>17.3</v>
      </c>
      <c r="S265">
        <v>37</v>
      </c>
      <c r="T265">
        <v>37</v>
      </c>
      <c r="U265">
        <v>3</v>
      </c>
      <c r="V265">
        <v>0</v>
      </c>
      <c r="W265" t="s">
        <v>14</v>
      </c>
      <c r="X265">
        <v>57.3</v>
      </c>
    </row>
    <row r="266" spans="1:24" ht="15">
      <c r="A266">
        <v>259</v>
      </c>
      <c r="B266">
        <v>27739</v>
      </c>
      <c r="C266" t="s">
        <v>755</v>
      </c>
      <c r="D266" t="s">
        <v>17</v>
      </c>
      <c r="E266" t="s">
        <v>21</v>
      </c>
      <c r="F266" t="str">
        <f>"201504005373"</f>
        <v>201504005373</v>
      </c>
      <c r="G266">
        <v>15.3</v>
      </c>
      <c r="H266">
        <v>7</v>
      </c>
      <c r="I266">
        <v>0</v>
      </c>
      <c r="J266">
        <v>28</v>
      </c>
      <c r="K266">
        <v>28</v>
      </c>
      <c r="N266">
        <v>3</v>
      </c>
      <c r="O266">
        <v>3</v>
      </c>
      <c r="P266">
        <v>4</v>
      </c>
      <c r="Q266">
        <v>0</v>
      </c>
      <c r="R266">
        <v>57.3</v>
      </c>
      <c r="S266">
        <v>0</v>
      </c>
      <c r="T266">
        <v>0</v>
      </c>
      <c r="U266">
        <v>0</v>
      </c>
      <c r="V266">
        <v>0</v>
      </c>
      <c r="W266" t="s">
        <v>14</v>
      </c>
      <c r="X266">
        <v>57.3</v>
      </c>
    </row>
    <row r="267" spans="1:24" ht="15">
      <c r="A267">
        <v>260</v>
      </c>
      <c r="B267">
        <v>7944</v>
      </c>
      <c r="C267" t="s">
        <v>761</v>
      </c>
      <c r="D267" t="s">
        <v>17</v>
      </c>
      <c r="E267" t="s">
        <v>762</v>
      </c>
      <c r="F267" t="str">
        <f>"201504003464"</f>
        <v>201504003464</v>
      </c>
      <c r="G267">
        <v>17.15</v>
      </c>
      <c r="H267">
        <v>0</v>
      </c>
      <c r="I267">
        <v>0</v>
      </c>
      <c r="J267">
        <v>28</v>
      </c>
      <c r="K267">
        <v>28</v>
      </c>
      <c r="N267">
        <v>3</v>
      </c>
      <c r="O267">
        <v>3</v>
      </c>
      <c r="P267">
        <v>4</v>
      </c>
      <c r="Q267">
        <v>2</v>
      </c>
      <c r="R267">
        <v>54.15</v>
      </c>
      <c r="S267">
        <v>0</v>
      </c>
      <c r="T267">
        <v>0</v>
      </c>
      <c r="U267">
        <v>3</v>
      </c>
      <c r="V267">
        <v>0</v>
      </c>
      <c r="W267" t="s">
        <v>14</v>
      </c>
      <c r="X267">
        <v>57.15</v>
      </c>
    </row>
    <row r="268" spans="1:24" ht="15">
      <c r="A268">
        <v>261</v>
      </c>
      <c r="B268">
        <v>11610</v>
      </c>
      <c r="C268" t="s">
        <v>768</v>
      </c>
      <c r="D268" t="s">
        <v>30</v>
      </c>
      <c r="E268" t="s">
        <v>44</v>
      </c>
      <c r="F268" t="str">
        <f>"00568055"</f>
        <v>00568055</v>
      </c>
      <c r="G268">
        <v>20</v>
      </c>
      <c r="H268">
        <v>7</v>
      </c>
      <c r="I268">
        <v>0</v>
      </c>
      <c r="J268">
        <v>20</v>
      </c>
      <c r="K268">
        <v>20</v>
      </c>
      <c r="O268">
        <v>0</v>
      </c>
      <c r="P268">
        <v>4</v>
      </c>
      <c r="Q268">
        <v>0</v>
      </c>
      <c r="R268">
        <v>51</v>
      </c>
      <c r="S268">
        <v>0</v>
      </c>
      <c r="T268">
        <v>0</v>
      </c>
      <c r="U268">
        <v>6</v>
      </c>
      <c r="V268">
        <v>0</v>
      </c>
      <c r="W268" t="s">
        <v>14</v>
      </c>
      <c r="X268">
        <v>57</v>
      </c>
    </row>
    <row r="269" spans="1:24" ht="15">
      <c r="A269">
        <v>262</v>
      </c>
      <c r="B269">
        <v>89715</v>
      </c>
      <c r="C269" t="s">
        <v>770</v>
      </c>
      <c r="D269" t="s">
        <v>771</v>
      </c>
      <c r="E269" t="s">
        <v>772</v>
      </c>
      <c r="F269" t="str">
        <f>"00435948"</f>
        <v>00435948</v>
      </c>
      <c r="G269">
        <v>21.95</v>
      </c>
      <c r="H269">
        <v>0</v>
      </c>
      <c r="I269">
        <v>0</v>
      </c>
      <c r="J269">
        <v>28</v>
      </c>
      <c r="K269">
        <v>28</v>
      </c>
      <c r="N269">
        <v>3</v>
      </c>
      <c r="O269">
        <v>3</v>
      </c>
      <c r="P269">
        <v>4</v>
      </c>
      <c r="Q269">
        <v>0</v>
      </c>
      <c r="R269">
        <v>56.95</v>
      </c>
      <c r="S269">
        <v>0</v>
      </c>
      <c r="T269">
        <v>0</v>
      </c>
      <c r="U269">
        <v>0</v>
      </c>
      <c r="V269">
        <v>0</v>
      </c>
      <c r="W269" t="s">
        <v>14</v>
      </c>
      <c r="X269">
        <v>56.95</v>
      </c>
    </row>
    <row r="270" spans="1:24" ht="15">
      <c r="A270">
        <v>263</v>
      </c>
      <c r="B270">
        <v>25</v>
      </c>
      <c r="C270" t="s">
        <v>721</v>
      </c>
      <c r="D270" t="s">
        <v>370</v>
      </c>
      <c r="E270" t="s">
        <v>21</v>
      </c>
      <c r="F270" t="str">
        <f>"200802012068"</f>
        <v>200802012068</v>
      </c>
      <c r="G270">
        <v>21.95</v>
      </c>
      <c r="H270">
        <v>0</v>
      </c>
      <c r="I270">
        <v>0</v>
      </c>
      <c r="J270">
        <v>28</v>
      </c>
      <c r="K270">
        <v>28</v>
      </c>
      <c r="N270">
        <v>3</v>
      </c>
      <c r="O270">
        <v>3</v>
      </c>
      <c r="P270">
        <v>4</v>
      </c>
      <c r="Q270">
        <v>0</v>
      </c>
      <c r="R270">
        <v>56.95</v>
      </c>
      <c r="S270">
        <v>0</v>
      </c>
      <c r="T270">
        <v>0</v>
      </c>
      <c r="U270">
        <v>0</v>
      </c>
      <c r="V270">
        <v>0</v>
      </c>
      <c r="W270" t="s">
        <v>14</v>
      </c>
      <c r="X270">
        <v>56.95</v>
      </c>
    </row>
    <row r="271" spans="1:24" ht="15">
      <c r="A271">
        <v>264</v>
      </c>
      <c r="B271">
        <v>5053</v>
      </c>
      <c r="C271" t="s">
        <v>773</v>
      </c>
      <c r="D271" t="s">
        <v>387</v>
      </c>
      <c r="E271" t="s">
        <v>774</v>
      </c>
      <c r="F271" t="str">
        <f>"00213290"</f>
        <v>00213290</v>
      </c>
      <c r="G271">
        <v>17.95</v>
      </c>
      <c r="H271">
        <v>0</v>
      </c>
      <c r="I271">
        <v>0</v>
      </c>
      <c r="J271">
        <v>28</v>
      </c>
      <c r="K271">
        <v>28</v>
      </c>
      <c r="L271">
        <v>7</v>
      </c>
      <c r="O271">
        <v>7</v>
      </c>
      <c r="P271">
        <v>4</v>
      </c>
      <c r="Q271">
        <v>0</v>
      </c>
      <c r="R271">
        <v>56.95</v>
      </c>
      <c r="S271">
        <v>0</v>
      </c>
      <c r="T271">
        <v>0</v>
      </c>
      <c r="U271">
        <v>0</v>
      </c>
      <c r="V271">
        <v>0</v>
      </c>
      <c r="W271" t="s">
        <v>14</v>
      </c>
      <c r="X271">
        <v>56.95</v>
      </c>
    </row>
    <row r="272" spans="1:24" ht="15">
      <c r="A272">
        <v>265</v>
      </c>
      <c r="B272">
        <v>38908</v>
      </c>
      <c r="C272" t="s">
        <v>776</v>
      </c>
      <c r="D272" t="s">
        <v>777</v>
      </c>
      <c r="E272" t="s">
        <v>12</v>
      </c>
      <c r="F272" t="str">
        <f>"00547164"</f>
        <v>00547164</v>
      </c>
      <c r="G272">
        <v>17.93</v>
      </c>
      <c r="H272">
        <v>0</v>
      </c>
      <c r="I272">
        <v>0</v>
      </c>
      <c r="J272">
        <v>20</v>
      </c>
      <c r="K272">
        <v>20</v>
      </c>
      <c r="L272">
        <v>7</v>
      </c>
      <c r="O272">
        <v>7</v>
      </c>
      <c r="P272">
        <v>4</v>
      </c>
      <c r="Q272">
        <v>2</v>
      </c>
      <c r="R272">
        <v>50.93</v>
      </c>
      <c r="S272">
        <v>0</v>
      </c>
      <c r="T272">
        <v>0</v>
      </c>
      <c r="U272">
        <v>6</v>
      </c>
      <c r="V272">
        <v>0</v>
      </c>
      <c r="W272" t="s">
        <v>14</v>
      </c>
      <c r="X272">
        <v>56.93</v>
      </c>
    </row>
    <row r="273" spans="1:24" ht="15">
      <c r="A273">
        <v>266</v>
      </c>
      <c r="B273">
        <v>20965</v>
      </c>
      <c r="C273" t="s">
        <v>787</v>
      </c>
      <c r="D273" t="s">
        <v>788</v>
      </c>
      <c r="E273" t="s">
        <v>27</v>
      </c>
      <c r="F273" t="str">
        <f>"201406015470"</f>
        <v>201406015470</v>
      </c>
      <c r="G273">
        <v>15.8</v>
      </c>
      <c r="H273">
        <v>0</v>
      </c>
      <c r="I273">
        <v>0</v>
      </c>
      <c r="J273">
        <v>28</v>
      </c>
      <c r="K273">
        <v>28</v>
      </c>
      <c r="N273">
        <v>3</v>
      </c>
      <c r="O273">
        <v>3</v>
      </c>
      <c r="P273">
        <v>4</v>
      </c>
      <c r="Q273">
        <v>0</v>
      </c>
      <c r="R273">
        <v>50.8</v>
      </c>
      <c r="S273">
        <v>0</v>
      </c>
      <c r="T273">
        <v>0</v>
      </c>
      <c r="U273">
        <v>6</v>
      </c>
      <c r="V273">
        <v>0</v>
      </c>
      <c r="W273" t="s">
        <v>14</v>
      </c>
      <c r="X273">
        <v>56.8</v>
      </c>
    </row>
    <row r="274" spans="1:24" ht="15">
      <c r="A274">
        <v>267</v>
      </c>
      <c r="B274">
        <v>94990</v>
      </c>
      <c r="C274" t="s">
        <v>790</v>
      </c>
      <c r="D274" t="s">
        <v>75</v>
      </c>
      <c r="E274" t="s">
        <v>155</v>
      </c>
      <c r="F274" t="str">
        <f>"201606000078"</f>
        <v>201606000078</v>
      </c>
      <c r="G274">
        <v>15.75</v>
      </c>
      <c r="H274">
        <v>0</v>
      </c>
      <c r="I274">
        <v>0</v>
      </c>
      <c r="J274">
        <v>28</v>
      </c>
      <c r="K274">
        <v>28</v>
      </c>
      <c r="L274">
        <v>7</v>
      </c>
      <c r="O274">
        <v>7</v>
      </c>
      <c r="P274">
        <v>4</v>
      </c>
      <c r="Q274">
        <v>2</v>
      </c>
      <c r="R274">
        <v>56.75</v>
      </c>
      <c r="S274">
        <v>0</v>
      </c>
      <c r="T274">
        <v>0</v>
      </c>
      <c r="U274">
        <v>0</v>
      </c>
      <c r="V274">
        <v>0</v>
      </c>
      <c r="W274" t="s">
        <v>14</v>
      </c>
      <c r="X274">
        <v>56.75</v>
      </c>
    </row>
    <row r="275" spans="1:24" ht="15">
      <c r="A275">
        <v>268</v>
      </c>
      <c r="B275">
        <v>96225</v>
      </c>
      <c r="C275" t="s">
        <v>793</v>
      </c>
      <c r="D275" t="s">
        <v>69</v>
      </c>
      <c r="E275" t="s">
        <v>30</v>
      </c>
      <c r="F275" t="str">
        <f>"00638424"</f>
        <v>00638424</v>
      </c>
      <c r="G275">
        <v>22.73</v>
      </c>
      <c r="H275">
        <v>7</v>
      </c>
      <c r="I275">
        <v>0</v>
      </c>
      <c r="J275">
        <v>20</v>
      </c>
      <c r="K275">
        <v>20</v>
      </c>
      <c r="N275">
        <v>3</v>
      </c>
      <c r="O275">
        <v>3</v>
      </c>
      <c r="P275">
        <v>4</v>
      </c>
      <c r="Q275">
        <v>0</v>
      </c>
      <c r="R275">
        <v>56.73</v>
      </c>
      <c r="S275">
        <v>0</v>
      </c>
      <c r="T275">
        <v>0</v>
      </c>
      <c r="U275">
        <v>0</v>
      </c>
      <c r="V275">
        <v>0</v>
      </c>
      <c r="W275" t="s">
        <v>14</v>
      </c>
      <c r="X275">
        <v>56.73</v>
      </c>
    </row>
    <row r="276" spans="1:24" ht="15">
      <c r="A276">
        <v>269</v>
      </c>
      <c r="B276">
        <v>95163</v>
      </c>
      <c r="C276" t="s">
        <v>794</v>
      </c>
      <c r="D276" t="s">
        <v>795</v>
      </c>
      <c r="E276" t="s">
        <v>124</v>
      </c>
      <c r="F276" t="str">
        <f>"00609004"</f>
        <v>00609004</v>
      </c>
      <c r="G276">
        <v>20.73</v>
      </c>
      <c r="H276">
        <v>0</v>
      </c>
      <c r="I276">
        <v>0</v>
      </c>
      <c r="J276">
        <v>20</v>
      </c>
      <c r="K276">
        <v>20</v>
      </c>
      <c r="L276">
        <v>7</v>
      </c>
      <c r="N276">
        <v>3</v>
      </c>
      <c r="O276">
        <v>10</v>
      </c>
      <c r="P276">
        <v>4</v>
      </c>
      <c r="Q276">
        <v>2</v>
      </c>
      <c r="R276">
        <v>56.73</v>
      </c>
      <c r="S276">
        <v>0</v>
      </c>
      <c r="T276">
        <v>0</v>
      </c>
      <c r="U276">
        <v>0</v>
      </c>
      <c r="V276">
        <v>0</v>
      </c>
      <c r="W276" t="s">
        <v>14</v>
      </c>
      <c r="X276">
        <v>56.73</v>
      </c>
    </row>
    <row r="277" spans="1:24" ht="15">
      <c r="A277">
        <v>270</v>
      </c>
      <c r="B277">
        <v>2447</v>
      </c>
      <c r="C277" t="s">
        <v>798</v>
      </c>
      <c r="D277" t="s">
        <v>799</v>
      </c>
      <c r="E277" t="s">
        <v>800</v>
      </c>
      <c r="F277" t="str">
        <f>"201402000266"</f>
        <v>201402000266</v>
      </c>
      <c r="G277">
        <v>17.68</v>
      </c>
      <c r="H277">
        <v>0</v>
      </c>
      <c r="I277">
        <v>0</v>
      </c>
      <c r="J277">
        <v>20</v>
      </c>
      <c r="K277">
        <v>20</v>
      </c>
      <c r="L277">
        <v>7</v>
      </c>
      <c r="O277">
        <v>7</v>
      </c>
      <c r="P277">
        <v>4</v>
      </c>
      <c r="Q277">
        <v>2</v>
      </c>
      <c r="R277">
        <v>50.68</v>
      </c>
      <c r="S277">
        <v>0</v>
      </c>
      <c r="T277">
        <v>0</v>
      </c>
      <c r="U277">
        <v>6</v>
      </c>
      <c r="V277">
        <v>0</v>
      </c>
      <c r="W277" t="s">
        <v>14</v>
      </c>
      <c r="X277">
        <v>56.68</v>
      </c>
    </row>
    <row r="278" spans="1:24" ht="15">
      <c r="A278">
        <v>271</v>
      </c>
      <c r="B278">
        <v>86544</v>
      </c>
      <c r="C278" t="s">
        <v>802</v>
      </c>
      <c r="D278" t="s">
        <v>29</v>
      </c>
      <c r="E278" t="s">
        <v>27</v>
      </c>
      <c r="F278" t="str">
        <f>"201402001819"</f>
        <v>201402001819</v>
      </c>
      <c r="G278">
        <v>15.65</v>
      </c>
      <c r="H278">
        <v>0</v>
      </c>
      <c r="I278">
        <v>0</v>
      </c>
      <c r="J278">
        <v>20</v>
      </c>
      <c r="K278">
        <v>20</v>
      </c>
      <c r="N278">
        <v>6</v>
      </c>
      <c r="O278">
        <v>6</v>
      </c>
      <c r="P278">
        <v>4</v>
      </c>
      <c r="Q278">
        <v>2</v>
      </c>
      <c r="R278">
        <v>47.65</v>
      </c>
      <c r="S278">
        <v>0</v>
      </c>
      <c r="T278">
        <v>0</v>
      </c>
      <c r="U278">
        <v>9</v>
      </c>
      <c r="V278">
        <v>0</v>
      </c>
      <c r="W278" t="s">
        <v>14</v>
      </c>
      <c r="X278">
        <v>56.65</v>
      </c>
    </row>
    <row r="279" spans="1:24" ht="15">
      <c r="A279">
        <v>272</v>
      </c>
      <c r="B279">
        <v>99343</v>
      </c>
      <c r="C279" t="s">
        <v>803</v>
      </c>
      <c r="D279" t="s">
        <v>16</v>
      </c>
      <c r="E279" t="s">
        <v>391</v>
      </c>
      <c r="F279" t="str">
        <f>"200810000626"</f>
        <v>200810000626</v>
      </c>
      <c r="G279">
        <v>17.65</v>
      </c>
      <c r="H279">
        <v>0</v>
      </c>
      <c r="I279">
        <v>0</v>
      </c>
      <c r="J279">
        <v>28</v>
      </c>
      <c r="K279">
        <v>28</v>
      </c>
      <c r="L279">
        <v>7</v>
      </c>
      <c r="O279">
        <v>7</v>
      </c>
      <c r="P279">
        <v>4</v>
      </c>
      <c r="Q279">
        <v>0</v>
      </c>
      <c r="R279">
        <v>56.65</v>
      </c>
      <c r="S279">
        <v>0</v>
      </c>
      <c r="T279">
        <v>0</v>
      </c>
      <c r="U279">
        <v>0</v>
      </c>
      <c r="V279">
        <v>0</v>
      </c>
      <c r="W279" t="s">
        <v>14</v>
      </c>
      <c r="X279">
        <v>56.65</v>
      </c>
    </row>
    <row r="280" spans="1:24" ht="15">
      <c r="A280">
        <v>273</v>
      </c>
      <c r="B280">
        <v>9099</v>
      </c>
      <c r="C280" t="s">
        <v>804</v>
      </c>
      <c r="D280" t="s">
        <v>75</v>
      </c>
      <c r="E280" t="s">
        <v>805</v>
      </c>
      <c r="F280" t="str">
        <f>"00599392"</f>
        <v>00599392</v>
      </c>
      <c r="G280">
        <v>18.6</v>
      </c>
      <c r="H280">
        <v>0</v>
      </c>
      <c r="I280">
        <v>0</v>
      </c>
      <c r="J280">
        <v>20</v>
      </c>
      <c r="K280">
        <v>20</v>
      </c>
      <c r="M280">
        <v>5</v>
      </c>
      <c r="O280">
        <v>5</v>
      </c>
      <c r="P280">
        <v>4</v>
      </c>
      <c r="Q280">
        <v>0</v>
      </c>
      <c r="R280">
        <v>47.6</v>
      </c>
      <c r="S280">
        <v>0</v>
      </c>
      <c r="T280">
        <v>0</v>
      </c>
      <c r="U280">
        <v>9</v>
      </c>
      <c r="V280">
        <v>0</v>
      </c>
      <c r="W280" t="s">
        <v>14</v>
      </c>
      <c r="X280">
        <v>56.6</v>
      </c>
    </row>
    <row r="281" spans="1:24" ht="15">
      <c r="A281">
        <v>274</v>
      </c>
      <c r="B281">
        <v>102449</v>
      </c>
      <c r="C281" t="s">
        <v>449</v>
      </c>
      <c r="D281" t="s">
        <v>166</v>
      </c>
      <c r="E281" t="s">
        <v>21</v>
      </c>
      <c r="F281" t="str">
        <f>"201512003052"</f>
        <v>201512003052</v>
      </c>
      <c r="G281">
        <v>17.6</v>
      </c>
      <c r="H281">
        <v>7</v>
      </c>
      <c r="I281">
        <v>0</v>
      </c>
      <c r="J281">
        <v>28</v>
      </c>
      <c r="K281">
        <v>28</v>
      </c>
      <c r="O281">
        <v>0</v>
      </c>
      <c r="P281">
        <v>4</v>
      </c>
      <c r="Q281">
        <v>0</v>
      </c>
      <c r="R281">
        <v>56.6</v>
      </c>
      <c r="S281">
        <v>0</v>
      </c>
      <c r="T281">
        <v>0</v>
      </c>
      <c r="U281">
        <v>0</v>
      </c>
      <c r="V281">
        <v>0</v>
      </c>
      <c r="W281" t="s">
        <v>14</v>
      </c>
      <c r="X281">
        <v>56.6</v>
      </c>
    </row>
    <row r="282" spans="1:24" ht="15">
      <c r="A282">
        <v>275</v>
      </c>
      <c r="B282">
        <v>62535</v>
      </c>
      <c r="C282" t="s">
        <v>806</v>
      </c>
      <c r="D282" t="s">
        <v>252</v>
      </c>
      <c r="E282" t="s">
        <v>391</v>
      </c>
      <c r="F282" t="str">
        <f>"00183153"</f>
        <v>00183153</v>
      </c>
      <c r="G282">
        <v>15.58</v>
      </c>
      <c r="H282">
        <v>0</v>
      </c>
      <c r="I282">
        <v>0</v>
      </c>
      <c r="J282">
        <v>28</v>
      </c>
      <c r="K282">
        <v>28</v>
      </c>
      <c r="N282">
        <v>3</v>
      </c>
      <c r="O282">
        <v>3</v>
      </c>
      <c r="P282">
        <v>4</v>
      </c>
      <c r="Q282">
        <v>0</v>
      </c>
      <c r="R282">
        <v>50.58</v>
      </c>
      <c r="S282">
        <v>3</v>
      </c>
      <c r="T282">
        <v>3</v>
      </c>
      <c r="U282">
        <v>3</v>
      </c>
      <c r="V282">
        <v>0</v>
      </c>
      <c r="W282" t="s">
        <v>14</v>
      </c>
      <c r="X282">
        <v>56.58</v>
      </c>
    </row>
    <row r="283" spans="1:24" ht="15">
      <c r="A283">
        <v>276</v>
      </c>
      <c r="B283">
        <v>90260</v>
      </c>
      <c r="C283" t="s">
        <v>807</v>
      </c>
      <c r="D283" t="s">
        <v>808</v>
      </c>
      <c r="E283" t="s">
        <v>60</v>
      </c>
      <c r="F283" t="str">
        <f>"00367903"</f>
        <v>00367903</v>
      </c>
      <c r="G283">
        <v>18.53</v>
      </c>
      <c r="H283">
        <v>0</v>
      </c>
      <c r="I283">
        <v>0</v>
      </c>
      <c r="J283">
        <v>28</v>
      </c>
      <c r="K283">
        <v>28</v>
      </c>
      <c r="N283">
        <v>3</v>
      </c>
      <c r="O283">
        <v>3</v>
      </c>
      <c r="P283">
        <v>4</v>
      </c>
      <c r="Q283">
        <v>0</v>
      </c>
      <c r="R283">
        <v>53.53</v>
      </c>
      <c r="S283">
        <v>0</v>
      </c>
      <c r="T283">
        <v>0</v>
      </c>
      <c r="U283">
        <v>3</v>
      </c>
      <c r="V283">
        <v>0</v>
      </c>
      <c r="W283" t="s">
        <v>14</v>
      </c>
      <c r="X283">
        <v>56.53</v>
      </c>
    </row>
    <row r="284" spans="1:24" ht="15">
      <c r="A284">
        <v>277</v>
      </c>
      <c r="B284">
        <v>64808</v>
      </c>
      <c r="C284" t="s">
        <v>815</v>
      </c>
      <c r="D284" t="s">
        <v>477</v>
      </c>
      <c r="E284" t="s">
        <v>816</v>
      </c>
      <c r="F284" t="str">
        <f>"00004028"</f>
        <v>00004028</v>
      </c>
      <c r="G284">
        <v>17.5</v>
      </c>
      <c r="H284">
        <v>0</v>
      </c>
      <c r="I284">
        <v>0</v>
      </c>
      <c r="J284">
        <v>28</v>
      </c>
      <c r="K284">
        <v>28</v>
      </c>
      <c r="L284">
        <v>7</v>
      </c>
      <c r="O284">
        <v>7</v>
      </c>
      <c r="P284">
        <v>4</v>
      </c>
      <c r="Q284">
        <v>0</v>
      </c>
      <c r="R284">
        <v>56.5</v>
      </c>
      <c r="S284">
        <v>0</v>
      </c>
      <c r="T284">
        <v>0</v>
      </c>
      <c r="U284">
        <v>0</v>
      </c>
      <c r="V284">
        <v>0</v>
      </c>
      <c r="W284" t="s">
        <v>14</v>
      </c>
      <c r="X284">
        <v>56.5</v>
      </c>
    </row>
    <row r="285" spans="1:24" ht="15">
      <c r="A285">
        <v>278</v>
      </c>
      <c r="B285">
        <v>100290</v>
      </c>
      <c r="C285" t="s">
        <v>818</v>
      </c>
      <c r="D285" t="s">
        <v>819</v>
      </c>
      <c r="E285" t="s">
        <v>820</v>
      </c>
      <c r="F285" t="str">
        <f>"201504004192"</f>
        <v>201504004192</v>
      </c>
      <c r="G285">
        <v>17.48</v>
      </c>
      <c r="H285">
        <v>0</v>
      </c>
      <c r="I285">
        <v>0</v>
      </c>
      <c r="J285">
        <v>28</v>
      </c>
      <c r="K285">
        <v>28</v>
      </c>
      <c r="M285">
        <v>5</v>
      </c>
      <c r="O285">
        <v>5</v>
      </c>
      <c r="P285">
        <v>4</v>
      </c>
      <c r="Q285">
        <v>2</v>
      </c>
      <c r="R285">
        <v>56.48</v>
      </c>
      <c r="S285">
        <v>0</v>
      </c>
      <c r="T285">
        <v>0</v>
      </c>
      <c r="U285">
        <v>0</v>
      </c>
      <c r="V285">
        <v>0</v>
      </c>
      <c r="W285" t="s">
        <v>14</v>
      </c>
      <c r="X285">
        <v>56.48</v>
      </c>
    </row>
    <row r="286" spans="1:24" ht="15">
      <c r="A286">
        <v>279</v>
      </c>
      <c r="B286">
        <v>58625</v>
      </c>
      <c r="C286" t="s">
        <v>823</v>
      </c>
      <c r="D286" t="s">
        <v>53</v>
      </c>
      <c r="E286" t="s">
        <v>17</v>
      </c>
      <c r="F286" t="str">
        <f>"00015505"</f>
        <v>00015505</v>
      </c>
      <c r="G286">
        <v>17.3</v>
      </c>
      <c r="H286">
        <v>0</v>
      </c>
      <c r="I286">
        <v>0</v>
      </c>
      <c r="J286">
        <v>28</v>
      </c>
      <c r="K286">
        <v>28</v>
      </c>
      <c r="L286">
        <v>7</v>
      </c>
      <c r="O286">
        <v>7</v>
      </c>
      <c r="P286">
        <v>4</v>
      </c>
      <c r="Q286">
        <v>0</v>
      </c>
      <c r="R286">
        <v>56.3</v>
      </c>
      <c r="S286">
        <v>0</v>
      </c>
      <c r="T286">
        <v>0</v>
      </c>
      <c r="U286">
        <v>0</v>
      </c>
      <c r="V286">
        <v>0</v>
      </c>
      <c r="W286" t="s">
        <v>14</v>
      </c>
      <c r="X286">
        <v>56.3</v>
      </c>
    </row>
    <row r="287" spans="1:24" ht="15">
      <c r="A287">
        <v>280</v>
      </c>
      <c r="B287">
        <v>38727</v>
      </c>
      <c r="C287" t="s">
        <v>825</v>
      </c>
      <c r="D287" t="s">
        <v>17</v>
      </c>
      <c r="E287" t="s">
        <v>80</v>
      </c>
      <c r="F287" t="str">
        <f>"200901000072"</f>
        <v>200901000072</v>
      </c>
      <c r="G287">
        <v>17.28</v>
      </c>
      <c r="H287">
        <v>0</v>
      </c>
      <c r="I287">
        <v>0</v>
      </c>
      <c r="J287">
        <v>28</v>
      </c>
      <c r="K287">
        <v>28</v>
      </c>
      <c r="M287">
        <v>5</v>
      </c>
      <c r="O287">
        <v>5</v>
      </c>
      <c r="P287">
        <v>4</v>
      </c>
      <c r="Q287">
        <v>2</v>
      </c>
      <c r="R287">
        <v>56.28</v>
      </c>
      <c r="S287">
        <v>0</v>
      </c>
      <c r="T287">
        <v>0</v>
      </c>
      <c r="U287">
        <v>0</v>
      </c>
      <c r="V287">
        <v>0</v>
      </c>
      <c r="W287" t="s">
        <v>14</v>
      </c>
      <c r="X287">
        <v>56.28</v>
      </c>
    </row>
    <row r="288" spans="1:24" ht="15">
      <c r="A288">
        <v>281</v>
      </c>
      <c r="B288">
        <v>3888</v>
      </c>
      <c r="C288" t="s">
        <v>829</v>
      </c>
      <c r="D288" t="s">
        <v>12</v>
      </c>
      <c r="E288" t="s">
        <v>83</v>
      </c>
      <c r="F288" t="str">
        <f>"200802008389"</f>
        <v>200802008389</v>
      </c>
      <c r="G288">
        <v>15.25</v>
      </c>
      <c r="H288">
        <v>0</v>
      </c>
      <c r="I288">
        <v>0</v>
      </c>
      <c r="J288">
        <v>28</v>
      </c>
      <c r="K288">
        <v>28</v>
      </c>
      <c r="L288">
        <v>7</v>
      </c>
      <c r="O288">
        <v>7</v>
      </c>
      <c r="P288">
        <v>4</v>
      </c>
      <c r="Q288">
        <v>2</v>
      </c>
      <c r="R288">
        <v>56.25</v>
      </c>
      <c r="S288">
        <v>0</v>
      </c>
      <c r="T288">
        <v>0</v>
      </c>
      <c r="U288">
        <v>0</v>
      </c>
      <c r="V288">
        <v>0</v>
      </c>
      <c r="W288" t="s">
        <v>14</v>
      </c>
      <c r="X288">
        <v>56.25</v>
      </c>
    </row>
    <row r="289" spans="1:24" ht="15">
      <c r="A289">
        <v>282</v>
      </c>
      <c r="B289">
        <v>66167</v>
      </c>
      <c r="C289" t="s">
        <v>830</v>
      </c>
      <c r="D289" t="s">
        <v>97</v>
      </c>
      <c r="E289" t="s">
        <v>109</v>
      </c>
      <c r="F289" t="str">
        <f>"00622594"</f>
        <v>00622594</v>
      </c>
      <c r="G289">
        <v>17.23</v>
      </c>
      <c r="H289">
        <v>0</v>
      </c>
      <c r="I289">
        <v>0</v>
      </c>
      <c r="J289">
        <v>20</v>
      </c>
      <c r="K289">
        <v>20</v>
      </c>
      <c r="L289">
        <v>7</v>
      </c>
      <c r="O289">
        <v>7</v>
      </c>
      <c r="P289">
        <v>4</v>
      </c>
      <c r="Q289">
        <v>2</v>
      </c>
      <c r="R289">
        <v>50.23</v>
      </c>
      <c r="S289">
        <v>0</v>
      </c>
      <c r="T289">
        <v>0</v>
      </c>
      <c r="U289">
        <v>6</v>
      </c>
      <c r="V289">
        <v>0</v>
      </c>
      <c r="W289" t="s">
        <v>14</v>
      </c>
      <c r="X289">
        <v>56.23</v>
      </c>
    </row>
    <row r="290" spans="1:24" ht="15">
      <c r="A290">
        <v>283</v>
      </c>
      <c r="B290">
        <v>40894</v>
      </c>
      <c r="C290" t="s">
        <v>605</v>
      </c>
      <c r="D290" t="s">
        <v>113</v>
      </c>
      <c r="E290" t="s">
        <v>469</v>
      </c>
      <c r="F290" t="str">
        <f>"201511032547"</f>
        <v>201511032547</v>
      </c>
      <c r="G290">
        <v>20.23</v>
      </c>
      <c r="H290">
        <v>0</v>
      </c>
      <c r="I290">
        <v>0</v>
      </c>
      <c r="J290">
        <v>20</v>
      </c>
      <c r="K290">
        <v>20</v>
      </c>
      <c r="L290">
        <v>7</v>
      </c>
      <c r="N290">
        <v>3</v>
      </c>
      <c r="O290">
        <v>10</v>
      </c>
      <c r="P290">
        <v>4</v>
      </c>
      <c r="Q290">
        <v>2</v>
      </c>
      <c r="R290">
        <v>56.23</v>
      </c>
      <c r="S290">
        <v>0</v>
      </c>
      <c r="T290">
        <v>0</v>
      </c>
      <c r="U290">
        <v>0</v>
      </c>
      <c r="V290">
        <v>0</v>
      </c>
      <c r="W290" t="s">
        <v>14</v>
      </c>
      <c r="X290">
        <v>56.23</v>
      </c>
    </row>
    <row r="291" spans="1:24" ht="15">
      <c r="A291">
        <v>284</v>
      </c>
      <c r="B291">
        <v>33467</v>
      </c>
      <c r="C291" t="s">
        <v>831</v>
      </c>
      <c r="D291" t="s">
        <v>827</v>
      </c>
      <c r="E291" t="s">
        <v>30</v>
      </c>
      <c r="F291" t="str">
        <f>"200811000863"</f>
        <v>200811000863</v>
      </c>
      <c r="G291">
        <v>18.2</v>
      </c>
      <c r="H291">
        <v>0</v>
      </c>
      <c r="I291">
        <v>0</v>
      </c>
      <c r="J291">
        <v>20</v>
      </c>
      <c r="K291">
        <v>20</v>
      </c>
      <c r="L291">
        <v>7</v>
      </c>
      <c r="O291">
        <v>7</v>
      </c>
      <c r="P291">
        <v>4</v>
      </c>
      <c r="Q291">
        <v>0</v>
      </c>
      <c r="R291">
        <v>49.2</v>
      </c>
      <c r="S291">
        <v>1</v>
      </c>
      <c r="T291">
        <v>1</v>
      </c>
      <c r="U291">
        <v>6</v>
      </c>
      <c r="V291">
        <v>0</v>
      </c>
      <c r="W291" t="s">
        <v>14</v>
      </c>
      <c r="X291">
        <v>56.2</v>
      </c>
    </row>
    <row r="292" spans="1:24" ht="15">
      <c r="A292">
        <v>285</v>
      </c>
      <c r="B292">
        <v>34901</v>
      </c>
      <c r="C292" t="s">
        <v>843</v>
      </c>
      <c r="D292" t="s">
        <v>236</v>
      </c>
      <c r="E292" t="s">
        <v>414</v>
      </c>
      <c r="F292" t="str">
        <f>"00636451"</f>
        <v>00636451</v>
      </c>
      <c r="G292">
        <v>17.95</v>
      </c>
      <c r="H292">
        <v>0</v>
      </c>
      <c r="I292">
        <v>0</v>
      </c>
      <c r="J292">
        <v>28</v>
      </c>
      <c r="K292">
        <v>28</v>
      </c>
      <c r="N292">
        <v>3</v>
      </c>
      <c r="O292">
        <v>3</v>
      </c>
      <c r="P292">
        <v>4</v>
      </c>
      <c r="Q292">
        <v>0</v>
      </c>
      <c r="R292">
        <v>52.95</v>
      </c>
      <c r="S292">
        <v>0</v>
      </c>
      <c r="T292">
        <v>0</v>
      </c>
      <c r="U292">
        <v>3</v>
      </c>
      <c r="V292">
        <v>0</v>
      </c>
      <c r="W292" t="s">
        <v>14</v>
      </c>
      <c r="X292">
        <v>55.95</v>
      </c>
    </row>
    <row r="293" spans="1:24" ht="15">
      <c r="A293">
        <v>286</v>
      </c>
      <c r="B293">
        <v>57781</v>
      </c>
      <c r="C293" t="s">
        <v>849</v>
      </c>
      <c r="D293" t="s">
        <v>850</v>
      </c>
      <c r="E293" t="s">
        <v>27</v>
      </c>
      <c r="F293" t="str">
        <f>"201504000845"</f>
        <v>201504000845</v>
      </c>
      <c r="G293">
        <v>19.93</v>
      </c>
      <c r="H293">
        <v>0</v>
      </c>
      <c r="I293">
        <v>0</v>
      </c>
      <c r="J293">
        <v>20</v>
      </c>
      <c r="K293">
        <v>20</v>
      </c>
      <c r="L293">
        <v>7</v>
      </c>
      <c r="M293">
        <v>5</v>
      </c>
      <c r="O293">
        <v>12</v>
      </c>
      <c r="P293">
        <v>4</v>
      </c>
      <c r="Q293">
        <v>0</v>
      </c>
      <c r="R293">
        <v>55.93</v>
      </c>
      <c r="S293">
        <v>0</v>
      </c>
      <c r="T293">
        <v>0</v>
      </c>
      <c r="U293">
        <v>0</v>
      </c>
      <c r="V293">
        <v>0</v>
      </c>
      <c r="W293" t="s">
        <v>14</v>
      </c>
      <c r="X293">
        <v>55.93</v>
      </c>
    </row>
    <row r="294" spans="1:24" ht="15">
      <c r="A294">
        <v>287</v>
      </c>
      <c r="B294">
        <v>48192</v>
      </c>
      <c r="C294" t="s">
        <v>852</v>
      </c>
      <c r="D294" t="s">
        <v>853</v>
      </c>
      <c r="E294" t="s">
        <v>12</v>
      </c>
      <c r="F294" t="str">
        <f>"201401000815"</f>
        <v>201401000815</v>
      </c>
      <c r="G294">
        <v>16.9</v>
      </c>
      <c r="H294">
        <v>0</v>
      </c>
      <c r="I294">
        <v>0</v>
      </c>
      <c r="J294">
        <v>28</v>
      </c>
      <c r="K294">
        <v>28</v>
      </c>
      <c r="N294">
        <v>3</v>
      </c>
      <c r="O294">
        <v>3</v>
      </c>
      <c r="P294">
        <v>4</v>
      </c>
      <c r="Q294">
        <v>2</v>
      </c>
      <c r="R294">
        <v>53.9</v>
      </c>
      <c r="S294">
        <v>2</v>
      </c>
      <c r="T294">
        <v>2</v>
      </c>
      <c r="U294">
        <v>0</v>
      </c>
      <c r="V294">
        <v>0</v>
      </c>
      <c r="W294" t="s">
        <v>14</v>
      </c>
      <c r="X294">
        <v>55.9</v>
      </c>
    </row>
    <row r="295" spans="1:24" ht="15">
      <c r="A295">
        <v>288</v>
      </c>
      <c r="B295">
        <v>112714</v>
      </c>
      <c r="C295" t="s">
        <v>854</v>
      </c>
      <c r="D295" t="s">
        <v>273</v>
      </c>
      <c r="E295" t="s">
        <v>27</v>
      </c>
      <c r="F295" t="str">
        <f>"00634949"</f>
        <v>00634949</v>
      </c>
      <c r="G295">
        <v>16.88</v>
      </c>
      <c r="H295">
        <v>0</v>
      </c>
      <c r="I295">
        <v>0</v>
      </c>
      <c r="J295">
        <v>20</v>
      </c>
      <c r="K295">
        <v>20</v>
      </c>
      <c r="L295">
        <v>7</v>
      </c>
      <c r="O295">
        <v>7</v>
      </c>
      <c r="P295">
        <v>4</v>
      </c>
      <c r="Q295">
        <v>2</v>
      </c>
      <c r="R295">
        <v>49.88</v>
      </c>
      <c r="S295">
        <v>0</v>
      </c>
      <c r="T295">
        <v>0</v>
      </c>
      <c r="U295">
        <v>6</v>
      </c>
      <c r="V295">
        <v>0</v>
      </c>
      <c r="W295" t="s">
        <v>14</v>
      </c>
      <c r="X295">
        <v>55.88</v>
      </c>
    </row>
    <row r="296" spans="1:24" ht="15">
      <c r="A296">
        <v>289</v>
      </c>
      <c r="B296">
        <v>9635</v>
      </c>
      <c r="C296" t="s">
        <v>856</v>
      </c>
      <c r="D296" t="s">
        <v>75</v>
      </c>
      <c r="E296" t="s">
        <v>273</v>
      </c>
      <c r="F296" t="str">
        <f>"00156489"</f>
        <v>00156489</v>
      </c>
      <c r="G296">
        <v>19.83</v>
      </c>
      <c r="H296">
        <v>0</v>
      </c>
      <c r="I296">
        <v>0</v>
      </c>
      <c r="J296">
        <v>20</v>
      </c>
      <c r="K296">
        <v>20</v>
      </c>
      <c r="L296">
        <v>7</v>
      </c>
      <c r="N296">
        <v>3</v>
      </c>
      <c r="O296">
        <v>10</v>
      </c>
      <c r="P296">
        <v>4</v>
      </c>
      <c r="Q296">
        <v>2</v>
      </c>
      <c r="R296">
        <v>55.83</v>
      </c>
      <c r="S296">
        <v>0</v>
      </c>
      <c r="T296">
        <v>0</v>
      </c>
      <c r="U296">
        <v>0</v>
      </c>
      <c r="V296">
        <v>0</v>
      </c>
      <c r="W296" t="s">
        <v>14</v>
      </c>
      <c r="X296">
        <v>55.83</v>
      </c>
    </row>
    <row r="297" spans="1:24" ht="15">
      <c r="A297">
        <v>290</v>
      </c>
      <c r="B297">
        <v>50833</v>
      </c>
      <c r="C297" t="s">
        <v>860</v>
      </c>
      <c r="D297" t="s">
        <v>370</v>
      </c>
      <c r="E297" t="s">
        <v>24</v>
      </c>
      <c r="F297" t="str">
        <f>"00576515"</f>
        <v>00576515</v>
      </c>
      <c r="G297">
        <v>17.75</v>
      </c>
      <c r="H297">
        <v>0</v>
      </c>
      <c r="I297">
        <v>0</v>
      </c>
      <c r="J297">
        <v>20</v>
      </c>
      <c r="K297">
        <v>20</v>
      </c>
      <c r="N297">
        <v>3</v>
      </c>
      <c r="O297">
        <v>3</v>
      </c>
      <c r="P297">
        <v>4</v>
      </c>
      <c r="Q297">
        <v>2</v>
      </c>
      <c r="R297">
        <v>46.75</v>
      </c>
      <c r="S297">
        <v>0</v>
      </c>
      <c r="T297">
        <v>0</v>
      </c>
      <c r="U297">
        <v>9</v>
      </c>
      <c r="V297">
        <v>0</v>
      </c>
      <c r="W297" t="s">
        <v>14</v>
      </c>
      <c r="X297">
        <v>55.75</v>
      </c>
    </row>
    <row r="298" spans="1:24" ht="15">
      <c r="A298">
        <v>291</v>
      </c>
      <c r="B298">
        <v>66011</v>
      </c>
      <c r="C298" t="s">
        <v>861</v>
      </c>
      <c r="D298" t="s">
        <v>218</v>
      </c>
      <c r="E298" t="s">
        <v>12</v>
      </c>
      <c r="F298" t="str">
        <f>"00603528"</f>
        <v>00603528</v>
      </c>
      <c r="G298">
        <v>15.75</v>
      </c>
      <c r="H298">
        <v>0</v>
      </c>
      <c r="I298">
        <v>0</v>
      </c>
      <c r="J298">
        <v>0</v>
      </c>
      <c r="K298">
        <v>0</v>
      </c>
      <c r="O298">
        <v>0</v>
      </c>
      <c r="P298">
        <v>4</v>
      </c>
      <c r="Q298">
        <v>0</v>
      </c>
      <c r="R298">
        <v>19.75</v>
      </c>
      <c r="S298">
        <v>30</v>
      </c>
      <c r="T298">
        <v>30</v>
      </c>
      <c r="U298">
        <v>6</v>
      </c>
      <c r="V298">
        <v>0</v>
      </c>
      <c r="W298" t="s">
        <v>14</v>
      </c>
      <c r="X298">
        <v>55.75</v>
      </c>
    </row>
    <row r="299" spans="1:24" ht="15">
      <c r="A299">
        <v>292</v>
      </c>
      <c r="B299">
        <v>112243</v>
      </c>
      <c r="C299" t="s">
        <v>862</v>
      </c>
      <c r="D299" t="s">
        <v>29</v>
      </c>
      <c r="E299" t="s">
        <v>27</v>
      </c>
      <c r="F299" t="str">
        <f>"00640043"</f>
        <v>00640043</v>
      </c>
      <c r="G299">
        <v>17.73</v>
      </c>
      <c r="H299">
        <v>0</v>
      </c>
      <c r="I299">
        <v>0</v>
      </c>
      <c r="J299">
        <v>28</v>
      </c>
      <c r="K299">
        <v>28</v>
      </c>
      <c r="N299">
        <v>3</v>
      </c>
      <c r="O299">
        <v>3</v>
      </c>
      <c r="P299">
        <v>4</v>
      </c>
      <c r="Q299">
        <v>0</v>
      </c>
      <c r="R299">
        <v>52.73</v>
      </c>
      <c r="S299">
        <v>0</v>
      </c>
      <c r="T299">
        <v>0</v>
      </c>
      <c r="U299">
        <v>3</v>
      </c>
      <c r="V299">
        <v>0</v>
      </c>
      <c r="W299" t="s">
        <v>14</v>
      </c>
      <c r="X299">
        <v>55.73</v>
      </c>
    </row>
    <row r="300" spans="1:24" ht="15">
      <c r="A300">
        <v>293</v>
      </c>
      <c r="B300">
        <v>8454</v>
      </c>
      <c r="C300" t="s">
        <v>863</v>
      </c>
      <c r="D300" t="s">
        <v>864</v>
      </c>
      <c r="E300" t="s">
        <v>17</v>
      </c>
      <c r="F300" t="str">
        <f>"00449741"</f>
        <v>00449741</v>
      </c>
      <c r="G300">
        <v>21.7</v>
      </c>
      <c r="H300">
        <v>7</v>
      </c>
      <c r="I300">
        <v>0</v>
      </c>
      <c r="J300">
        <v>20</v>
      </c>
      <c r="K300">
        <v>20</v>
      </c>
      <c r="N300">
        <v>3</v>
      </c>
      <c r="O300">
        <v>3</v>
      </c>
      <c r="P300">
        <v>4</v>
      </c>
      <c r="Q300">
        <v>0</v>
      </c>
      <c r="R300">
        <v>55.7</v>
      </c>
      <c r="S300">
        <v>0</v>
      </c>
      <c r="T300">
        <v>0</v>
      </c>
      <c r="U300">
        <v>0</v>
      </c>
      <c r="V300">
        <v>0</v>
      </c>
      <c r="W300" t="s">
        <v>14</v>
      </c>
      <c r="X300">
        <v>55.7</v>
      </c>
    </row>
    <row r="301" spans="1:24" ht="15">
      <c r="A301">
        <v>294</v>
      </c>
      <c r="B301">
        <v>83539</v>
      </c>
      <c r="C301" t="s">
        <v>865</v>
      </c>
      <c r="D301" t="s">
        <v>866</v>
      </c>
      <c r="E301" t="s">
        <v>80</v>
      </c>
      <c r="F301" t="str">
        <f>"00603046"</f>
        <v>00603046</v>
      </c>
      <c r="G301">
        <v>18.65</v>
      </c>
      <c r="H301">
        <v>0</v>
      </c>
      <c r="I301">
        <v>0</v>
      </c>
      <c r="J301">
        <v>20</v>
      </c>
      <c r="K301">
        <v>20</v>
      </c>
      <c r="N301">
        <v>6</v>
      </c>
      <c r="O301">
        <v>6</v>
      </c>
      <c r="P301">
        <v>0</v>
      </c>
      <c r="Q301">
        <v>0</v>
      </c>
      <c r="R301">
        <v>44.65</v>
      </c>
      <c r="S301">
        <v>5</v>
      </c>
      <c r="T301">
        <v>5</v>
      </c>
      <c r="U301">
        <v>6</v>
      </c>
      <c r="V301">
        <v>0</v>
      </c>
      <c r="W301" t="s">
        <v>14</v>
      </c>
      <c r="X301">
        <v>55.65</v>
      </c>
    </row>
    <row r="302" spans="1:24" ht="15">
      <c r="A302">
        <v>295</v>
      </c>
      <c r="B302">
        <v>906</v>
      </c>
      <c r="C302" t="s">
        <v>868</v>
      </c>
      <c r="D302" t="s">
        <v>869</v>
      </c>
      <c r="E302" t="s">
        <v>27</v>
      </c>
      <c r="F302" t="str">
        <f>"201402012509"</f>
        <v>201402012509</v>
      </c>
      <c r="G302">
        <v>16.65</v>
      </c>
      <c r="H302">
        <v>0</v>
      </c>
      <c r="I302">
        <v>0</v>
      </c>
      <c r="J302">
        <v>28</v>
      </c>
      <c r="K302">
        <v>28</v>
      </c>
      <c r="L302">
        <v>7</v>
      </c>
      <c r="O302">
        <v>7</v>
      </c>
      <c r="P302">
        <v>4</v>
      </c>
      <c r="Q302">
        <v>0</v>
      </c>
      <c r="R302">
        <v>55.65</v>
      </c>
      <c r="S302">
        <v>0</v>
      </c>
      <c r="T302">
        <v>0</v>
      </c>
      <c r="U302">
        <v>0</v>
      </c>
      <c r="V302">
        <v>0</v>
      </c>
      <c r="W302" t="s">
        <v>14</v>
      </c>
      <c r="X302">
        <v>55.65</v>
      </c>
    </row>
    <row r="303" spans="1:24" ht="15">
      <c r="A303">
        <v>296</v>
      </c>
      <c r="B303">
        <v>78224</v>
      </c>
      <c r="C303" t="s">
        <v>870</v>
      </c>
      <c r="D303" t="s">
        <v>871</v>
      </c>
      <c r="E303" t="s">
        <v>17</v>
      </c>
      <c r="F303" t="str">
        <f>"00571286"</f>
        <v>00571286</v>
      </c>
      <c r="G303">
        <v>17.6</v>
      </c>
      <c r="H303">
        <v>0</v>
      </c>
      <c r="I303">
        <v>0</v>
      </c>
      <c r="J303">
        <v>20</v>
      </c>
      <c r="K303">
        <v>20</v>
      </c>
      <c r="N303">
        <v>3</v>
      </c>
      <c r="O303">
        <v>3</v>
      </c>
      <c r="P303">
        <v>4</v>
      </c>
      <c r="Q303">
        <v>2</v>
      </c>
      <c r="R303">
        <v>46.6</v>
      </c>
      <c r="S303">
        <v>0</v>
      </c>
      <c r="T303">
        <v>0</v>
      </c>
      <c r="U303">
        <v>9</v>
      </c>
      <c r="V303">
        <v>0</v>
      </c>
      <c r="W303" t="s">
        <v>14</v>
      </c>
      <c r="X303">
        <v>55.6</v>
      </c>
    </row>
    <row r="304" spans="1:24" ht="15">
      <c r="A304">
        <v>297</v>
      </c>
      <c r="B304">
        <v>90798</v>
      </c>
      <c r="C304" t="s">
        <v>877</v>
      </c>
      <c r="D304" t="s">
        <v>153</v>
      </c>
      <c r="E304" t="s">
        <v>106</v>
      </c>
      <c r="F304" t="str">
        <f>"00156855"</f>
        <v>00156855</v>
      </c>
      <c r="G304">
        <v>17.5</v>
      </c>
      <c r="H304">
        <v>0</v>
      </c>
      <c r="I304">
        <v>0</v>
      </c>
      <c r="J304">
        <v>28</v>
      </c>
      <c r="K304">
        <v>28</v>
      </c>
      <c r="N304">
        <v>6</v>
      </c>
      <c r="O304">
        <v>6</v>
      </c>
      <c r="P304">
        <v>4</v>
      </c>
      <c r="Q304">
        <v>0</v>
      </c>
      <c r="R304">
        <v>55.5</v>
      </c>
      <c r="S304">
        <v>0</v>
      </c>
      <c r="T304">
        <v>0</v>
      </c>
      <c r="U304">
        <v>0</v>
      </c>
      <c r="V304">
        <v>0</v>
      </c>
      <c r="W304" t="s">
        <v>14</v>
      </c>
      <c r="X304">
        <v>55.5</v>
      </c>
    </row>
    <row r="305" spans="1:24" ht="15">
      <c r="A305">
        <v>298</v>
      </c>
      <c r="B305">
        <v>58538</v>
      </c>
      <c r="C305" t="s">
        <v>879</v>
      </c>
      <c r="D305" t="s">
        <v>173</v>
      </c>
      <c r="E305" t="s">
        <v>201</v>
      </c>
      <c r="F305" t="str">
        <f>"00467154"</f>
        <v>00467154</v>
      </c>
      <c r="G305">
        <v>17.38</v>
      </c>
      <c r="H305">
        <v>7</v>
      </c>
      <c r="I305">
        <v>0</v>
      </c>
      <c r="J305">
        <v>0</v>
      </c>
      <c r="K305">
        <v>0</v>
      </c>
      <c r="O305">
        <v>0</v>
      </c>
      <c r="P305">
        <v>4</v>
      </c>
      <c r="Q305">
        <v>2</v>
      </c>
      <c r="R305">
        <v>30.38</v>
      </c>
      <c r="S305">
        <v>5</v>
      </c>
      <c r="T305">
        <v>5</v>
      </c>
      <c r="U305">
        <v>0</v>
      </c>
      <c r="V305">
        <v>20</v>
      </c>
      <c r="W305" t="s">
        <v>14</v>
      </c>
      <c r="X305">
        <v>55.38</v>
      </c>
    </row>
    <row r="306" spans="1:24" ht="15">
      <c r="A306">
        <v>299</v>
      </c>
      <c r="B306">
        <v>72164</v>
      </c>
      <c r="C306" t="s">
        <v>882</v>
      </c>
      <c r="D306" t="s">
        <v>90</v>
      </c>
      <c r="E306" t="s">
        <v>80</v>
      </c>
      <c r="F306" t="str">
        <f>"00341976"</f>
        <v>00341976</v>
      </c>
      <c r="G306">
        <v>15.33</v>
      </c>
      <c r="H306">
        <v>0</v>
      </c>
      <c r="I306">
        <v>0</v>
      </c>
      <c r="J306">
        <v>20</v>
      </c>
      <c r="K306">
        <v>20</v>
      </c>
      <c r="L306">
        <v>7</v>
      </c>
      <c r="N306">
        <v>3</v>
      </c>
      <c r="O306">
        <v>10</v>
      </c>
      <c r="P306">
        <v>4</v>
      </c>
      <c r="Q306">
        <v>0</v>
      </c>
      <c r="R306">
        <v>49.33</v>
      </c>
      <c r="S306">
        <v>0</v>
      </c>
      <c r="T306">
        <v>0</v>
      </c>
      <c r="U306">
        <v>6</v>
      </c>
      <c r="V306">
        <v>0</v>
      </c>
      <c r="W306" t="s">
        <v>14</v>
      </c>
      <c r="X306">
        <v>55.33</v>
      </c>
    </row>
    <row r="307" spans="1:24" ht="15">
      <c r="A307">
        <v>300</v>
      </c>
      <c r="B307">
        <v>75578</v>
      </c>
      <c r="C307" t="s">
        <v>886</v>
      </c>
      <c r="D307" t="s">
        <v>887</v>
      </c>
      <c r="E307" t="s">
        <v>17</v>
      </c>
      <c r="F307" t="str">
        <f>"00173650"</f>
        <v>00173650</v>
      </c>
      <c r="G307">
        <v>18.25</v>
      </c>
      <c r="H307">
        <v>7</v>
      </c>
      <c r="I307">
        <v>0</v>
      </c>
      <c r="J307">
        <v>20</v>
      </c>
      <c r="K307">
        <v>20</v>
      </c>
      <c r="O307">
        <v>0</v>
      </c>
      <c r="P307">
        <v>4</v>
      </c>
      <c r="Q307">
        <v>0</v>
      </c>
      <c r="R307">
        <v>49.25</v>
      </c>
      <c r="S307">
        <v>0</v>
      </c>
      <c r="T307">
        <v>0</v>
      </c>
      <c r="U307">
        <v>6</v>
      </c>
      <c r="V307">
        <v>0</v>
      </c>
      <c r="W307" t="s">
        <v>14</v>
      </c>
      <c r="X307">
        <v>55.25</v>
      </c>
    </row>
    <row r="308" spans="1:24" ht="15">
      <c r="A308">
        <v>301</v>
      </c>
      <c r="B308">
        <v>70885</v>
      </c>
      <c r="C308" t="s">
        <v>890</v>
      </c>
      <c r="D308" t="s">
        <v>891</v>
      </c>
      <c r="E308" t="s">
        <v>27</v>
      </c>
      <c r="F308" t="str">
        <f>"00543128"</f>
        <v>00543128</v>
      </c>
      <c r="G308">
        <v>16.18</v>
      </c>
      <c r="H308">
        <v>0</v>
      </c>
      <c r="I308">
        <v>0</v>
      </c>
      <c r="J308">
        <v>28</v>
      </c>
      <c r="K308">
        <v>28</v>
      </c>
      <c r="L308">
        <v>7</v>
      </c>
      <c r="O308">
        <v>7</v>
      </c>
      <c r="P308">
        <v>4</v>
      </c>
      <c r="Q308">
        <v>0</v>
      </c>
      <c r="R308">
        <v>55.18</v>
      </c>
      <c r="S308">
        <v>0</v>
      </c>
      <c r="T308">
        <v>0</v>
      </c>
      <c r="U308">
        <v>0</v>
      </c>
      <c r="V308">
        <v>0</v>
      </c>
      <c r="W308" t="s">
        <v>14</v>
      </c>
      <c r="X308">
        <v>55.18</v>
      </c>
    </row>
    <row r="309" spans="1:24" ht="15">
      <c r="A309">
        <v>302</v>
      </c>
      <c r="B309">
        <v>3349</v>
      </c>
      <c r="C309" t="s">
        <v>895</v>
      </c>
      <c r="D309" t="s">
        <v>21</v>
      </c>
      <c r="E309" t="s">
        <v>17</v>
      </c>
      <c r="F309" t="str">
        <f>"201504002035"</f>
        <v>201504002035</v>
      </c>
      <c r="G309">
        <v>17.08</v>
      </c>
      <c r="H309">
        <v>0</v>
      </c>
      <c r="I309">
        <v>0</v>
      </c>
      <c r="J309">
        <v>28</v>
      </c>
      <c r="K309">
        <v>28</v>
      </c>
      <c r="N309">
        <v>6</v>
      </c>
      <c r="O309">
        <v>6</v>
      </c>
      <c r="P309">
        <v>4</v>
      </c>
      <c r="Q309">
        <v>0</v>
      </c>
      <c r="R309">
        <v>55.08</v>
      </c>
      <c r="S309">
        <v>0</v>
      </c>
      <c r="T309">
        <v>0</v>
      </c>
      <c r="U309">
        <v>0</v>
      </c>
      <c r="V309">
        <v>0</v>
      </c>
      <c r="W309" t="s">
        <v>14</v>
      </c>
      <c r="X309">
        <v>55.08</v>
      </c>
    </row>
    <row r="310" spans="1:24" ht="15">
      <c r="A310">
        <v>303</v>
      </c>
      <c r="B310">
        <v>100764</v>
      </c>
      <c r="C310" t="s">
        <v>896</v>
      </c>
      <c r="D310" t="s">
        <v>897</v>
      </c>
      <c r="E310" t="s">
        <v>27</v>
      </c>
      <c r="F310" t="str">
        <f>"201504000907"</f>
        <v>201504000907</v>
      </c>
      <c r="G310">
        <v>21</v>
      </c>
      <c r="H310">
        <v>0</v>
      </c>
      <c r="I310">
        <v>0</v>
      </c>
      <c r="J310">
        <v>20</v>
      </c>
      <c r="K310">
        <v>20</v>
      </c>
      <c r="M310">
        <v>10</v>
      </c>
      <c r="O310">
        <v>10</v>
      </c>
      <c r="P310">
        <v>4</v>
      </c>
      <c r="Q310">
        <v>0</v>
      </c>
      <c r="R310">
        <v>55</v>
      </c>
      <c r="S310">
        <v>0</v>
      </c>
      <c r="T310">
        <v>0</v>
      </c>
      <c r="U310">
        <v>0</v>
      </c>
      <c r="V310">
        <v>0</v>
      </c>
      <c r="W310" t="s">
        <v>14</v>
      </c>
      <c r="X310">
        <v>55</v>
      </c>
    </row>
    <row r="311" spans="1:24" ht="15">
      <c r="A311">
        <v>304</v>
      </c>
      <c r="B311">
        <v>107502</v>
      </c>
      <c r="C311" t="s">
        <v>898</v>
      </c>
      <c r="D311" t="s">
        <v>97</v>
      </c>
      <c r="E311" t="s">
        <v>93</v>
      </c>
      <c r="F311" t="str">
        <f>"00527851"</f>
        <v>00527851</v>
      </c>
      <c r="G311">
        <v>16</v>
      </c>
      <c r="H311">
        <v>7</v>
      </c>
      <c r="I311">
        <v>0</v>
      </c>
      <c r="J311">
        <v>20</v>
      </c>
      <c r="K311">
        <v>20</v>
      </c>
      <c r="N311">
        <v>6</v>
      </c>
      <c r="O311">
        <v>6</v>
      </c>
      <c r="P311">
        <v>4</v>
      </c>
      <c r="Q311">
        <v>2</v>
      </c>
      <c r="R311">
        <v>55</v>
      </c>
      <c r="S311">
        <v>0</v>
      </c>
      <c r="T311">
        <v>0</v>
      </c>
      <c r="U311">
        <v>0</v>
      </c>
      <c r="V311">
        <v>0</v>
      </c>
      <c r="W311" t="s">
        <v>14</v>
      </c>
      <c r="X311">
        <v>55</v>
      </c>
    </row>
    <row r="312" spans="1:24" ht="15">
      <c r="A312">
        <v>305</v>
      </c>
      <c r="B312">
        <v>13819</v>
      </c>
      <c r="C312" t="s">
        <v>901</v>
      </c>
      <c r="D312" t="s">
        <v>902</v>
      </c>
      <c r="E312" t="s">
        <v>113</v>
      </c>
      <c r="F312" t="str">
        <f>"201411001276"</f>
        <v>201411001276</v>
      </c>
      <c r="G312">
        <v>17.78</v>
      </c>
      <c r="H312">
        <v>0</v>
      </c>
      <c r="I312">
        <v>0</v>
      </c>
      <c r="J312">
        <v>28</v>
      </c>
      <c r="K312">
        <v>28</v>
      </c>
      <c r="N312">
        <v>3</v>
      </c>
      <c r="O312">
        <v>3</v>
      </c>
      <c r="P312">
        <v>4</v>
      </c>
      <c r="Q312">
        <v>2</v>
      </c>
      <c r="R312">
        <v>54.78</v>
      </c>
      <c r="S312">
        <v>0</v>
      </c>
      <c r="T312">
        <v>0</v>
      </c>
      <c r="U312">
        <v>0</v>
      </c>
      <c r="V312">
        <v>0</v>
      </c>
      <c r="W312" t="s">
        <v>14</v>
      </c>
      <c r="X312">
        <v>54.78</v>
      </c>
    </row>
    <row r="313" spans="1:24" ht="15">
      <c r="A313">
        <v>306</v>
      </c>
      <c r="B313">
        <v>13594</v>
      </c>
      <c r="C313" t="s">
        <v>908</v>
      </c>
      <c r="D313" t="s">
        <v>21</v>
      </c>
      <c r="E313" t="s">
        <v>12</v>
      </c>
      <c r="F313" t="str">
        <f>"00002989"</f>
        <v>00002989</v>
      </c>
      <c r="G313">
        <v>15.63</v>
      </c>
      <c r="H313">
        <v>0</v>
      </c>
      <c r="I313">
        <v>0</v>
      </c>
      <c r="J313">
        <v>20</v>
      </c>
      <c r="K313">
        <v>20</v>
      </c>
      <c r="L313">
        <v>7</v>
      </c>
      <c r="O313">
        <v>7</v>
      </c>
      <c r="P313">
        <v>4</v>
      </c>
      <c r="Q313">
        <v>2</v>
      </c>
      <c r="R313">
        <v>48.63</v>
      </c>
      <c r="S313">
        <v>0</v>
      </c>
      <c r="T313">
        <v>0</v>
      </c>
      <c r="U313">
        <v>6</v>
      </c>
      <c r="V313">
        <v>0</v>
      </c>
      <c r="W313" t="s">
        <v>14</v>
      </c>
      <c r="X313">
        <v>54.63</v>
      </c>
    </row>
    <row r="314" spans="1:24" ht="15">
      <c r="A314">
        <v>307</v>
      </c>
      <c r="B314">
        <v>90043</v>
      </c>
      <c r="C314" t="s">
        <v>915</v>
      </c>
      <c r="D314" t="s">
        <v>916</v>
      </c>
      <c r="E314" t="s">
        <v>27</v>
      </c>
      <c r="F314" t="str">
        <f>"201604005219"</f>
        <v>201604005219</v>
      </c>
      <c r="G314">
        <v>15.53</v>
      </c>
      <c r="H314">
        <v>0</v>
      </c>
      <c r="I314">
        <v>0</v>
      </c>
      <c r="J314">
        <v>28</v>
      </c>
      <c r="K314">
        <v>28</v>
      </c>
      <c r="L314">
        <v>7</v>
      </c>
      <c r="O314">
        <v>7</v>
      </c>
      <c r="P314">
        <v>4</v>
      </c>
      <c r="Q314">
        <v>0</v>
      </c>
      <c r="R314">
        <v>54.53</v>
      </c>
      <c r="S314">
        <v>0</v>
      </c>
      <c r="T314">
        <v>0</v>
      </c>
      <c r="U314">
        <v>0</v>
      </c>
      <c r="V314">
        <v>0</v>
      </c>
      <c r="W314" t="s">
        <v>14</v>
      </c>
      <c r="X314">
        <v>54.53</v>
      </c>
    </row>
    <row r="315" spans="1:24" ht="15">
      <c r="A315">
        <v>308</v>
      </c>
      <c r="B315">
        <v>56728</v>
      </c>
      <c r="C315" t="s">
        <v>844</v>
      </c>
      <c r="D315" t="s">
        <v>196</v>
      </c>
      <c r="E315" t="s">
        <v>53</v>
      </c>
      <c r="F315" t="str">
        <f>"201504003565"</f>
        <v>201504003565</v>
      </c>
      <c r="G315">
        <v>17.5</v>
      </c>
      <c r="H315">
        <v>0</v>
      </c>
      <c r="I315">
        <v>0</v>
      </c>
      <c r="J315">
        <v>20</v>
      </c>
      <c r="K315">
        <v>20</v>
      </c>
      <c r="L315">
        <v>7</v>
      </c>
      <c r="O315">
        <v>7</v>
      </c>
      <c r="P315">
        <v>4</v>
      </c>
      <c r="Q315">
        <v>0</v>
      </c>
      <c r="R315">
        <v>48.5</v>
      </c>
      <c r="S315">
        <v>0</v>
      </c>
      <c r="T315">
        <v>0</v>
      </c>
      <c r="U315">
        <v>6</v>
      </c>
      <c r="V315">
        <v>0</v>
      </c>
      <c r="W315" t="s">
        <v>14</v>
      </c>
      <c r="X315">
        <v>54.5</v>
      </c>
    </row>
    <row r="316" spans="1:24" ht="15">
      <c r="A316">
        <v>309</v>
      </c>
      <c r="B316">
        <v>25593</v>
      </c>
      <c r="C316" t="s">
        <v>917</v>
      </c>
      <c r="D316" t="s">
        <v>29</v>
      </c>
      <c r="E316" t="s">
        <v>27</v>
      </c>
      <c r="F316" t="str">
        <f>"200801000020"</f>
        <v>200801000020</v>
      </c>
      <c r="G316">
        <v>17.5</v>
      </c>
      <c r="H316">
        <v>0</v>
      </c>
      <c r="I316">
        <v>0</v>
      </c>
      <c r="J316">
        <v>20</v>
      </c>
      <c r="K316">
        <v>20</v>
      </c>
      <c r="L316">
        <v>7</v>
      </c>
      <c r="O316">
        <v>7</v>
      </c>
      <c r="P316">
        <v>4</v>
      </c>
      <c r="Q316">
        <v>0</v>
      </c>
      <c r="R316">
        <v>48.5</v>
      </c>
      <c r="S316">
        <v>0</v>
      </c>
      <c r="T316">
        <v>0</v>
      </c>
      <c r="U316">
        <v>6</v>
      </c>
      <c r="V316">
        <v>0</v>
      </c>
      <c r="W316" t="s">
        <v>14</v>
      </c>
      <c r="X316">
        <v>54.5</v>
      </c>
    </row>
    <row r="317" spans="1:24" ht="15">
      <c r="A317">
        <v>310</v>
      </c>
      <c r="B317">
        <v>55807</v>
      </c>
      <c r="C317" t="s">
        <v>918</v>
      </c>
      <c r="D317" t="s">
        <v>29</v>
      </c>
      <c r="E317" t="s">
        <v>17</v>
      </c>
      <c r="F317" t="str">
        <f>"201511014408"</f>
        <v>201511014408</v>
      </c>
      <c r="G317">
        <v>15.5</v>
      </c>
      <c r="H317">
        <v>0</v>
      </c>
      <c r="I317">
        <v>0</v>
      </c>
      <c r="J317">
        <v>20</v>
      </c>
      <c r="K317">
        <v>20</v>
      </c>
      <c r="L317">
        <v>7</v>
      </c>
      <c r="O317">
        <v>7</v>
      </c>
      <c r="P317">
        <v>4</v>
      </c>
      <c r="Q317">
        <v>2</v>
      </c>
      <c r="R317">
        <v>48.5</v>
      </c>
      <c r="S317">
        <v>0</v>
      </c>
      <c r="T317">
        <v>0</v>
      </c>
      <c r="U317">
        <v>6</v>
      </c>
      <c r="V317">
        <v>0</v>
      </c>
      <c r="W317" t="s">
        <v>14</v>
      </c>
      <c r="X317">
        <v>54.5</v>
      </c>
    </row>
    <row r="318" spans="1:24" ht="15">
      <c r="A318">
        <v>311</v>
      </c>
      <c r="B318">
        <v>90118</v>
      </c>
      <c r="C318" t="s">
        <v>919</v>
      </c>
      <c r="D318" t="s">
        <v>16</v>
      </c>
      <c r="E318" t="s">
        <v>360</v>
      </c>
      <c r="F318" t="str">
        <f>"201402008970"</f>
        <v>201402008970</v>
      </c>
      <c r="G318">
        <v>17.5</v>
      </c>
      <c r="H318">
        <v>0</v>
      </c>
      <c r="I318">
        <v>0</v>
      </c>
      <c r="J318">
        <v>20</v>
      </c>
      <c r="K318">
        <v>20</v>
      </c>
      <c r="L318">
        <v>7</v>
      </c>
      <c r="N318">
        <v>3</v>
      </c>
      <c r="O318">
        <v>10</v>
      </c>
      <c r="P318">
        <v>4</v>
      </c>
      <c r="Q318">
        <v>0</v>
      </c>
      <c r="R318">
        <v>51.5</v>
      </c>
      <c r="S318">
        <v>0</v>
      </c>
      <c r="T318">
        <v>0</v>
      </c>
      <c r="U318">
        <v>3</v>
      </c>
      <c r="V318">
        <v>0</v>
      </c>
      <c r="W318" t="s">
        <v>14</v>
      </c>
      <c r="X318">
        <v>54.5</v>
      </c>
    </row>
    <row r="319" spans="1:24" ht="15">
      <c r="A319">
        <v>312</v>
      </c>
      <c r="B319">
        <v>45438</v>
      </c>
      <c r="C319" t="s">
        <v>920</v>
      </c>
      <c r="D319" t="s">
        <v>17</v>
      </c>
      <c r="E319" t="s">
        <v>12</v>
      </c>
      <c r="F319" t="str">
        <f>"200809000266"</f>
        <v>200809000266</v>
      </c>
      <c r="G319">
        <v>21.5</v>
      </c>
      <c r="H319">
        <v>0</v>
      </c>
      <c r="I319">
        <v>0</v>
      </c>
      <c r="J319">
        <v>28</v>
      </c>
      <c r="K319">
        <v>28</v>
      </c>
      <c r="M319">
        <v>5</v>
      </c>
      <c r="O319">
        <v>5</v>
      </c>
      <c r="P319">
        <v>0</v>
      </c>
      <c r="Q319">
        <v>0</v>
      </c>
      <c r="R319">
        <v>54.5</v>
      </c>
      <c r="S319">
        <v>0</v>
      </c>
      <c r="T319">
        <v>0</v>
      </c>
      <c r="U319">
        <v>0</v>
      </c>
      <c r="V319">
        <v>0</v>
      </c>
      <c r="W319" t="s">
        <v>14</v>
      </c>
      <c r="X319">
        <v>54.5</v>
      </c>
    </row>
    <row r="320" spans="1:24" ht="15">
      <c r="A320">
        <v>313</v>
      </c>
      <c r="B320">
        <v>104430</v>
      </c>
      <c r="C320" t="s">
        <v>931</v>
      </c>
      <c r="D320" t="s">
        <v>135</v>
      </c>
      <c r="E320" t="s">
        <v>17</v>
      </c>
      <c r="F320" t="str">
        <f>"200802010957"</f>
        <v>200802010957</v>
      </c>
      <c r="G320">
        <v>17.25</v>
      </c>
      <c r="H320">
        <v>0</v>
      </c>
      <c r="I320">
        <v>0</v>
      </c>
      <c r="J320">
        <v>20</v>
      </c>
      <c r="K320">
        <v>20</v>
      </c>
      <c r="L320">
        <v>7</v>
      </c>
      <c r="O320">
        <v>7</v>
      </c>
      <c r="P320">
        <v>4</v>
      </c>
      <c r="Q320">
        <v>0</v>
      </c>
      <c r="R320">
        <v>48.25</v>
      </c>
      <c r="S320">
        <v>0</v>
      </c>
      <c r="T320">
        <v>0</v>
      </c>
      <c r="U320">
        <v>6</v>
      </c>
      <c r="V320">
        <v>0</v>
      </c>
      <c r="W320" t="s">
        <v>14</v>
      </c>
      <c r="X320">
        <v>54.25</v>
      </c>
    </row>
    <row r="321" spans="1:24" ht="15">
      <c r="A321">
        <v>314</v>
      </c>
      <c r="B321">
        <v>17597</v>
      </c>
      <c r="C321" t="s">
        <v>932</v>
      </c>
      <c r="D321" t="s">
        <v>138</v>
      </c>
      <c r="E321" t="s">
        <v>933</v>
      </c>
      <c r="F321" t="str">
        <f>"00079323"</f>
        <v>00079323</v>
      </c>
      <c r="G321">
        <v>17.25</v>
      </c>
      <c r="H321">
        <v>0</v>
      </c>
      <c r="I321">
        <v>0</v>
      </c>
      <c r="J321">
        <v>20</v>
      </c>
      <c r="K321">
        <v>20</v>
      </c>
      <c r="L321">
        <v>7</v>
      </c>
      <c r="O321">
        <v>7</v>
      </c>
      <c r="P321">
        <v>4</v>
      </c>
      <c r="Q321">
        <v>0</v>
      </c>
      <c r="R321">
        <v>48.25</v>
      </c>
      <c r="S321">
        <v>0</v>
      </c>
      <c r="T321">
        <v>0</v>
      </c>
      <c r="U321">
        <v>6</v>
      </c>
      <c r="V321">
        <v>0</v>
      </c>
      <c r="W321" t="s">
        <v>14</v>
      </c>
      <c r="X321">
        <v>54.25</v>
      </c>
    </row>
    <row r="322" spans="1:24" ht="15">
      <c r="A322">
        <v>315</v>
      </c>
      <c r="B322">
        <v>101375</v>
      </c>
      <c r="C322" t="s">
        <v>455</v>
      </c>
      <c r="D322" t="s">
        <v>153</v>
      </c>
      <c r="E322" t="s">
        <v>109</v>
      </c>
      <c r="F322" t="str">
        <f>"201512005417"</f>
        <v>201512005417</v>
      </c>
      <c r="G322">
        <v>16.25</v>
      </c>
      <c r="H322">
        <v>0</v>
      </c>
      <c r="I322">
        <v>0</v>
      </c>
      <c r="J322">
        <v>20</v>
      </c>
      <c r="K322">
        <v>20</v>
      </c>
      <c r="L322">
        <v>14</v>
      </c>
      <c r="O322">
        <v>14</v>
      </c>
      <c r="P322">
        <v>4</v>
      </c>
      <c r="Q322">
        <v>0</v>
      </c>
      <c r="R322">
        <v>54.25</v>
      </c>
      <c r="S322">
        <v>0</v>
      </c>
      <c r="T322">
        <v>0</v>
      </c>
      <c r="U322">
        <v>0</v>
      </c>
      <c r="V322">
        <v>0</v>
      </c>
      <c r="W322" t="s">
        <v>14</v>
      </c>
      <c r="X322">
        <v>54.25</v>
      </c>
    </row>
    <row r="323" spans="1:24" ht="15">
      <c r="A323">
        <v>316</v>
      </c>
      <c r="B323">
        <v>89065</v>
      </c>
      <c r="C323" t="s">
        <v>938</v>
      </c>
      <c r="D323" t="s">
        <v>17</v>
      </c>
      <c r="E323" t="s">
        <v>21</v>
      </c>
      <c r="F323" t="str">
        <f>"00429281"</f>
        <v>00429281</v>
      </c>
      <c r="G323">
        <v>15.15</v>
      </c>
      <c r="H323">
        <v>7</v>
      </c>
      <c r="I323">
        <v>0</v>
      </c>
      <c r="J323">
        <v>20</v>
      </c>
      <c r="K323">
        <v>20</v>
      </c>
      <c r="N323">
        <v>3</v>
      </c>
      <c r="O323">
        <v>3</v>
      </c>
      <c r="P323">
        <v>4</v>
      </c>
      <c r="Q323">
        <v>0</v>
      </c>
      <c r="R323">
        <v>49.15</v>
      </c>
      <c r="S323">
        <v>2</v>
      </c>
      <c r="T323">
        <v>2</v>
      </c>
      <c r="U323">
        <v>3</v>
      </c>
      <c r="V323">
        <v>0</v>
      </c>
      <c r="W323" t="s">
        <v>14</v>
      </c>
      <c r="X323">
        <v>54.15</v>
      </c>
    </row>
    <row r="324" spans="1:24" ht="15">
      <c r="A324">
        <v>317</v>
      </c>
      <c r="B324">
        <v>47833</v>
      </c>
      <c r="C324" t="s">
        <v>939</v>
      </c>
      <c r="D324" t="s">
        <v>23</v>
      </c>
      <c r="E324" t="s">
        <v>940</v>
      </c>
      <c r="F324" t="str">
        <f>"00155481"</f>
        <v>00155481</v>
      </c>
      <c r="G324">
        <v>16.08</v>
      </c>
      <c r="H324">
        <v>0</v>
      </c>
      <c r="I324">
        <v>0</v>
      </c>
      <c r="J324">
        <v>20</v>
      </c>
      <c r="K324">
        <v>20</v>
      </c>
      <c r="L324">
        <v>7</v>
      </c>
      <c r="M324">
        <v>5</v>
      </c>
      <c r="O324">
        <v>12</v>
      </c>
      <c r="P324">
        <v>4</v>
      </c>
      <c r="Q324">
        <v>2</v>
      </c>
      <c r="R324">
        <v>54.08</v>
      </c>
      <c r="S324">
        <v>0</v>
      </c>
      <c r="T324">
        <v>0</v>
      </c>
      <c r="U324">
        <v>0</v>
      </c>
      <c r="V324">
        <v>0</v>
      </c>
      <c r="W324" t="s">
        <v>14</v>
      </c>
      <c r="X324">
        <v>54.08</v>
      </c>
    </row>
    <row r="325" spans="1:24" ht="15">
      <c r="A325">
        <v>318</v>
      </c>
      <c r="B325">
        <v>88562</v>
      </c>
      <c r="C325" t="s">
        <v>950</v>
      </c>
      <c r="D325" t="s">
        <v>23</v>
      </c>
      <c r="E325" t="s">
        <v>12</v>
      </c>
      <c r="F325" t="str">
        <f>"201402002575"</f>
        <v>201402002575</v>
      </c>
      <c r="G325">
        <v>15.9</v>
      </c>
      <c r="H325">
        <v>0</v>
      </c>
      <c r="I325">
        <v>0</v>
      </c>
      <c r="J325">
        <v>20</v>
      </c>
      <c r="K325">
        <v>20</v>
      </c>
      <c r="L325">
        <v>7</v>
      </c>
      <c r="M325">
        <v>5</v>
      </c>
      <c r="O325">
        <v>12</v>
      </c>
      <c r="P325">
        <v>4</v>
      </c>
      <c r="Q325">
        <v>2</v>
      </c>
      <c r="R325">
        <v>53.9</v>
      </c>
      <c r="S325">
        <v>0</v>
      </c>
      <c r="T325">
        <v>0</v>
      </c>
      <c r="U325">
        <v>0</v>
      </c>
      <c r="V325">
        <v>0</v>
      </c>
      <c r="W325" t="s">
        <v>14</v>
      </c>
      <c r="X325">
        <v>53.9</v>
      </c>
    </row>
    <row r="326" spans="1:24" ht="15">
      <c r="A326">
        <v>319</v>
      </c>
      <c r="B326">
        <v>71948</v>
      </c>
      <c r="C326" t="s">
        <v>955</v>
      </c>
      <c r="D326" t="s">
        <v>23</v>
      </c>
      <c r="E326" t="s">
        <v>80</v>
      </c>
      <c r="F326" t="str">
        <f>"00613736"</f>
        <v>00613736</v>
      </c>
      <c r="G326">
        <v>17.85</v>
      </c>
      <c r="H326">
        <v>0</v>
      </c>
      <c r="I326">
        <v>0</v>
      </c>
      <c r="J326">
        <v>20</v>
      </c>
      <c r="K326">
        <v>20</v>
      </c>
      <c r="L326">
        <v>7</v>
      </c>
      <c r="M326">
        <v>5</v>
      </c>
      <c r="O326">
        <v>12</v>
      </c>
      <c r="P326">
        <v>4</v>
      </c>
      <c r="Q326">
        <v>0</v>
      </c>
      <c r="R326">
        <v>53.85</v>
      </c>
      <c r="S326">
        <v>0</v>
      </c>
      <c r="T326">
        <v>0</v>
      </c>
      <c r="U326">
        <v>0</v>
      </c>
      <c r="V326">
        <v>0</v>
      </c>
      <c r="W326" t="s">
        <v>14</v>
      </c>
      <c r="X326">
        <v>53.85</v>
      </c>
    </row>
    <row r="327" spans="1:24" ht="15">
      <c r="A327">
        <v>320</v>
      </c>
      <c r="B327">
        <v>82849</v>
      </c>
      <c r="C327" t="s">
        <v>956</v>
      </c>
      <c r="D327" t="s">
        <v>43</v>
      </c>
      <c r="E327" t="s">
        <v>27</v>
      </c>
      <c r="F327" t="str">
        <f>"00639517"</f>
        <v>00639517</v>
      </c>
      <c r="G327">
        <v>16.8</v>
      </c>
      <c r="H327">
        <v>0</v>
      </c>
      <c r="I327">
        <v>0</v>
      </c>
      <c r="J327">
        <v>28</v>
      </c>
      <c r="K327">
        <v>28</v>
      </c>
      <c r="N327">
        <v>3</v>
      </c>
      <c r="O327">
        <v>3</v>
      </c>
      <c r="P327">
        <v>0</v>
      </c>
      <c r="Q327">
        <v>0</v>
      </c>
      <c r="R327">
        <v>47.8</v>
      </c>
      <c r="S327">
        <v>0</v>
      </c>
      <c r="T327">
        <v>0</v>
      </c>
      <c r="U327">
        <v>6</v>
      </c>
      <c r="V327">
        <v>0</v>
      </c>
      <c r="W327" t="s">
        <v>14</v>
      </c>
      <c r="X327">
        <v>53.8</v>
      </c>
    </row>
    <row r="328" spans="1:24" ht="15">
      <c r="A328">
        <v>321</v>
      </c>
      <c r="B328">
        <v>36322</v>
      </c>
      <c r="C328" t="s">
        <v>958</v>
      </c>
      <c r="D328" t="s">
        <v>442</v>
      </c>
      <c r="E328" t="s">
        <v>80</v>
      </c>
      <c r="F328" t="str">
        <f>"00286318"</f>
        <v>00286318</v>
      </c>
      <c r="G328">
        <v>16.78</v>
      </c>
      <c r="H328">
        <v>0</v>
      </c>
      <c r="I328">
        <v>0</v>
      </c>
      <c r="J328">
        <v>20</v>
      </c>
      <c r="K328">
        <v>20</v>
      </c>
      <c r="L328">
        <v>7</v>
      </c>
      <c r="O328">
        <v>7</v>
      </c>
      <c r="P328">
        <v>4</v>
      </c>
      <c r="Q328">
        <v>0</v>
      </c>
      <c r="R328">
        <v>47.78</v>
      </c>
      <c r="S328">
        <v>0</v>
      </c>
      <c r="T328">
        <v>0</v>
      </c>
      <c r="U328">
        <v>6</v>
      </c>
      <c r="V328">
        <v>0</v>
      </c>
      <c r="W328" t="s">
        <v>14</v>
      </c>
      <c r="X328">
        <v>53.78</v>
      </c>
    </row>
    <row r="329" spans="1:24" ht="15">
      <c r="A329">
        <v>322</v>
      </c>
      <c r="B329">
        <v>105789</v>
      </c>
      <c r="C329" t="s">
        <v>963</v>
      </c>
      <c r="D329" t="s">
        <v>746</v>
      </c>
      <c r="E329" t="s">
        <v>12</v>
      </c>
      <c r="F329" t="str">
        <f>"201410009236"</f>
        <v>201410009236</v>
      </c>
      <c r="G329">
        <v>17.65</v>
      </c>
      <c r="H329">
        <v>0</v>
      </c>
      <c r="I329">
        <v>0</v>
      </c>
      <c r="J329">
        <v>20</v>
      </c>
      <c r="K329">
        <v>20</v>
      </c>
      <c r="L329">
        <v>7</v>
      </c>
      <c r="M329">
        <v>5</v>
      </c>
      <c r="O329">
        <v>12</v>
      </c>
      <c r="P329">
        <v>4</v>
      </c>
      <c r="Q329">
        <v>0</v>
      </c>
      <c r="R329">
        <v>53.65</v>
      </c>
      <c r="S329">
        <v>0</v>
      </c>
      <c r="T329">
        <v>0</v>
      </c>
      <c r="U329">
        <v>0</v>
      </c>
      <c r="V329">
        <v>0</v>
      </c>
      <c r="W329" t="s">
        <v>14</v>
      </c>
      <c r="X329">
        <v>53.65</v>
      </c>
    </row>
    <row r="330" spans="1:24" ht="15">
      <c r="A330">
        <v>323</v>
      </c>
      <c r="B330">
        <v>115548</v>
      </c>
      <c r="C330" t="s">
        <v>657</v>
      </c>
      <c r="D330" t="s">
        <v>50</v>
      </c>
      <c r="E330" t="s">
        <v>375</v>
      </c>
      <c r="F330" t="str">
        <f>"00308787"</f>
        <v>00308787</v>
      </c>
      <c r="G330">
        <v>18.63</v>
      </c>
      <c r="H330">
        <v>0</v>
      </c>
      <c r="I330">
        <v>0</v>
      </c>
      <c r="J330">
        <v>28</v>
      </c>
      <c r="K330">
        <v>28</v>
      </c>
      <c r="N330">
        <v>3</v>
      </c>
      <c r="O330">
        <v>3</v>
      </c>
      <c r="P330">
        <v>4</v>
      </c>
      <c r="Q330">
        <v>0</v>
      </c>
      <c r="R330">
        <v>53.63</v>
      </c>
      <c r="S330">
        <v>0</v>
      </c>
      <c r="T330">
        <v>0</v>
      </c>
      <c r="U330">
        <v>0</v>
      </c>
      <c r="V330">
        <v>0</v>
      </c>
      <c r="W330" t="s">
        <v>14</v>
      </c>
      <c r="X330">
        <v>53.63</v>
      </c>
    </row>
    <row r="331" spans="1:24" ht="15">
      <c r="A331">
        <v>324</v>
      </c>
      <c r="B331">
        <v>68193</v>
      </c>
      <c r="C331" t="s">
        <v>119</v>
      </c>
      <c r="D331" t="s">
        <v>75</v>
      </c>
      <c r="E331" t="s">
        <v>23</v>
      </c>
      <c r="F331" t="str">
        <f>"00203757"</f>
        <v>00203757</v>
      </c>
      <c r="G331">
        <v>14.6</v>
      </c>
      <c r="H331">
        <v>0</v>
      </c>
      <c r="I331">
        <v>0</v>
      </c>
      <c r="J331">
        <v>20</v>
      </c>
      <c r="K331">
        <v>20</v>
      </c>
      <c r="L331">
        <v>7</v>
      </c>
      <c r="O331">
        <v>7</v>
      </c>
      <c r="P331">
        <v>4</v>
      </c>
      <c r="Q331">
        <v>2</v>
      </c>
      <c r="R331">
        <v>47.6</v>
      </c>
      <c r="S331">
        <v>0</v>
      </c>
      <c r="T331">
        <v>0</v>
      </c>
      <c r="U331">
        <v>6</v>
      </c>
      <c r="V331">
        <v>0</v>
      </c>
      <c r="W331" t="s">
        <v>14</v>
      </c>
      <c r="X331">
        <v>53.6</v>
      </c>
    </row>
    <row r="332" spans="1:24" ht="15">
      <c r="A332">
        <v>325</v>
      </c>
      <c r="B332">
        <v>8811</v>
      </c>
      <c r="C332" t="s">
        <v>966</v>
      </c>
      <c r="D332" t="s">
        <v>27</v>
      </c>
      <c r="E332" t="s">
        <v>30</v>
      </c>
      <c r="F332" t="str">
        <f>"00592257"</f>
        <v>00592257</v>
      </c>
      <c r="G332">
        <v>16.55</v>
      </c>
      <c r="H332">
        <v>0</v>
      </c>
      <c r="I332">
        <v>0</v>
      </c>
      <c r="J332">
        <v>28</v>
      </c>
      <c r="K332">
        <v>28</v>
      </c>
      <c r="N332">
        <v>3</v>
      </c>
      <c r="O332">
        <v>3</v>
      </c>
      <c r="P332">
        <v>0</v>
      </c>
      <c r="Q332">
        <v>0</v>
      </c>
      <c r="R332">
        <v>47.55</v>
      </c>
      <c r="S332">
        <v>0</v>
      </c>
      <c r="T332">
        <v>0</v>
      </c>
      <c r="U332">
        <v>6</v>
      </c>
      <c r="V332">
        <v>0</v>
      </c>
      <c r="W332" t="s">
        <v>14</v>
      </c>
      <c r="X332">
        <v>53.55</v>
      </c>
    </row>
    <row r="333" spans="1:24" ht="15">
      <c r="A333">
        <v>326</v>
      </c>
      <c r="B333">
        <v>92399</v>
      </c>
      <c r="C333" t="s">
        <v>967</v>
      </c>
      <c r="D333" t="s">
        <v>27</v>
      </c>
      <c r="E333" t="s">
        <v>288</v>
      </c>
      <c r="F333" t="str">
        <f>"201406013815"</f>
        <v>201406013815</v>
      </c>
      <c r="G333">
        <v>18.5</v>
      </c>
      <c r="H333">
        <v>0</v>
      </c>
      <c r="I333">
        <v>0</v>
      </c>
      <c r="J333">
        <v>20</v>
      </c>
      <c r="K333">
        <v>20</v>
      </c>
      <c r="M333">
        <v>5</v>
      </c>
      <c r="O333">
        <v>5</v>
      </c>
      <c r="P333">
        <v>4</v>
      </c>
      <c r="Q333">
        <v>0</v>
      </c>
      <c r="R333">
        <v>47.5</v>
      </c>
      <c r="S333">
        <v>0</v>
      </c>
      <c r="T333">
        <v>0</v>
      </c>
      <c r="U333">
        <v>6</v>
      </c>
      <c r="V333">
        <v>0</v>
      </c>
      <c r="W333" t="s">
        <v>14</v>
      </c>
      <c r="X333">
        <v>53.5</v>
      </c>
    </row>
    <row r="334" spans="1:24" ht="15">
      <c r="A334">
        <v>327</v>
      </c>
      <c r="B334">
        <v>40249</v>
      </c>
      <c r="C334" t="s">
        <v>968</v>
      </c>
      <c r="D334" t="s">
        <v>153</v>
      </c>
      <c r="E334" t="s">
        <v>20</v>
      </c>
      <c r="F334" t="str">
        <f>"200801006525"</f>
        <v>200801006525</v>
      </c>
      <c r="G334">
        <v>17.5</v>
      </c>
      <c r="H334">
        <v>0</v>
      </c>
      <c r="I334">
        <v>0</v>
      </c>
      <c r="J334">
        <v>20</v>
      </c>
      <c r="K334">
        <v>20</v>
      </c>
      <c r="L334">
        <v>7</v>
      </c>
      <c r="N334">
        <v>3</v>
      </c>
      <c r="O334">
        <v>10</v>
      </c>
      <c r="P334">
        <v>4</v>
      </c>
      <c r="Q334">
        <v>2</v>
      </c>
      <c r="R334">
        <v>53.5</v>
      </c>
      <c r="S334">
        <v>0</v>
      </c>
      <c r="T334">
        <v>0</v>
      </c>
      <c r="U334">
        <v>0</v>
      </c>
      <c r="V334">
        <v>0</v>
      </c>
      <c r="W334" t="s">
        <v>14</v>
      </c>
      <c r="X334">
        <v>53.5</v>
      </c>
    </row>
    <row r="335" spans="1:24" ht="15">
      <c r="A335">
        <v>328</v>
      </c>
      <c r="B335">
        <v>9855</v>
      </c>
      <c r="C335" t="s">
        <v>320</v>
      </c>
      <c r="D335" t="s">
        <v>969</v>
      </c>
      <c r="E335" t="s">
        <v>80</v>
      </c>
      <c r="F335" t="str">
        <f>"201504004899"</f>
        <v>201504004899</v>
      </c>
      <c r="G335">
        <v>19.5</v>
      </c>
      <c r="H335">
        <v>0</v>
      </c>
      <c r="I335">
        <v>0</v>
      </c>
      <c r="J335">
        <v>20</v>
      </c>
      <c r="K335">
        <v>20</v>
      </c>
      <c r="L335">
        <v>7</v>
      </c>
      <c r="O335">
        <v>7</v>
      </c>
      <c r="P335">
        <v>4</v>
      </c>
      <c r="Q335">
        <v>2</v>
      </c>
      <c r="R335">
        <v>52.5</v>
      </c>
      <c r="S335">
        <v>1</v>
      </c>
      <c r="T335">
        <v>1</v>
      </c>
      <c r="U335">
        <v>0</v>
      </c>
      <c r="V335">
        <v>0</v>
      </c>
      <c r="W335" t="s">
        <v>14</v>
      </c>
      <c r="X335">
        <v>53.5</v>
      </c>
    </row>
    <row r="336" spans="1:24" ht="15">
      <c r="A336">
        <v>329</v>
      </c>
      <c r="B336">
        <v>452</v>
      </c>
      <c r="C336" t="s">
        <v>970</v>
      </c>
      <c r="D336" t="s">
        <v>372</v>
      </c>
      <c r="E336" t="s">
        <v>30</v>
      </c>
      <c r="F336" t="str">
        <f>"00001961"</f>
        <v>00001961</v>
      </c>
      <c r="G336">
        <v>21.48</v>
      </c>
      <c r="H336">
        <v>0</v>
      </c>
      <c r="I336">
        <v>0</v>
      </c>
      <c r="J336">
        <v>20</v>
      </c>
      <c r="K336">
        <v>20</v>
      </c>
      <c r="N336">
        <v>3</v>
      </c>
      <c r="O336">
        <v>3</v>
      </c>
      <c r="P336">
        <v>4</v>
      </c>
      <c r="Q336">
        <v>2</v>
      </c>
      <c r="R336">
        <v>50.48</v>
      </c>
      <c r="S336">
        <v>0</v>
      </c>
      <c r="T336">
        <v>0</v>
      </c>
      <c r="U336">
        <v>3</v>
      </c>
      <c r="V336">
        <v>0</v>
      </c>
      <c r="W336" t="s">
        <v>14</v>
      </c>
      <c r="X336">
        <v>53.48</v>
      </c>
    </row>
    <row r="337" spans="1:24" ht="15">
      <c r="A337">
        <v>330</v>
      </c>
      <c r="B337">
        <v>99247</v>
      </c>
      <c r="C337" t="s">
        <v>750</v>
      </c>
      <c r="D337" t="s">
        <v>122</v>
      </c>
      <c r="E337" t="s">
        <v>21</v>
      </c>
      <c r="F337" t="str">
        <f>"00475239"</f>
        <v>00475239</v>
      </c>
      <c r="G337">
        <v>15.48</v>
      </c>
      <c r="H337">
        <v>7</v>
      </c>
      <c r="I337">
        <v>0</v>
      </c>
      <c r="J337">
        <v>0</v>
      </c>
      <c r="K337">
        <v>0</v>
      </c>
      <c r="O337">
        <v>0</v>
      </c>
      <c r="P337">
        <v>4</v>
      </c>
      <c r="Q337">
        <v>2</v>
      </c>
      <c r="R337">
        <v>28.48</v>
      </c>
      <c r="S337">
        <v>25</v>
      </c>
      <c r="T337">
        <v>25</v>
      </c>
      <c r="U337">
        <v>0</v>
      </c>
      <c r="V337">
        <v>0</v>
      </c>
      <c r="W337" t="s">
        <v>14</v>
      </c>
      <c r="X337">
        <v>53.48</v>
      </c>
    </row>
    <row r="338" spans="1:24" ht="15">
      <c r="A338">
        <v>331</v>
      </c>
      <c r="B338">
        <v>61769</v>
      </c>
      <c r="C338" t="s">
        <v>973</v>
      </c>
      <c r="D338" t="s">
        <v>974</v>
      </c>
      <c r="E338" t="s">
        <v>23</v>
      </c>
      <c r="F338" t="str">
        <f>"00018466"</f>
        <v>00018466</v>
      </c>
      <c r="G338">
        <v>18.45</v>
      </c>
      <c r="H338">
        <v>0</v>
      </c>
      <c r="I338">
        <v>0</v>
      </c>
      <c r="J338">
        <v>20</v>
      </c>
      <c r="K338">
        <v>20</v>
      </c>
      <c r="L338">
        <v>7</v>
      </c>
      <c r="N338">
        <v>3</v>
      </c>
      <c r="O338">
        <v>10</v>
      </c>
      <c r="P338">
        <v>4</v>
      </c>
      <c r="Q338">
        <v>0</v>
      </c>
      <c r="R338">
        <v>52.45</v>
      </c>
      <c r="S338">
        <v>1</v>
      </c>
      <c r="T338">
        <v>1</v>
      </c>
      <c r="U338">
        <v>0</v>
      </c>
      <c r="V338">
        <v>0</v>
      </c>
      <c r="W338" t="s">
        <v>14</v>
      </c>
      <c r="X338">
        <v>53.45</v>
      </c>
    </row>
    <row r="339" spans="1:24" ht="15">
      <c r="A339">
        <v>332</v>
      </c>
      <c r="B339">
        <v>29565</v>
      </c>
      <c r="C339" t="s">
        <v>977</v>
      </c>
      <c r="D339" t="s">
        <v>442</v>
      </c>
      <c r="E339" t="s">
        <v>23</v>
      </c>
      <c r="F339" t="str">
        <f>"00275807"</f>
        <v>00275807</v>
      </c>
      <c r="G339">
        <v>20.35</v>
      </c>
      <c r="H339">
        <v>0</v>
      </c>
      <c r="I339">
        <v>0</v>
      </c>
      <c r="J339">
        <v>20</v>
      </c>
      <c r="K339">
        <v>20</v>
      </c>
      <c r="L339">
        <v>7</v>
      </c>
      <c r="O339">
        <v>7</v>
      </c>
      <c r="P339">
        <v>4</v>
      </c>
      <c r="Q339">
        <v>2</v>
      </c>
      <c r="R339">
        <v>53.35</v>
      </c>
      <c r="S339">
        <v>0</v>
      </c>
      <c r="T339">
        <v>0</v>
      </c>
      <c r="U339">
        <v>0</v>
      </c>
      <c r="V339">
        <v>0</v>
      </c>
      <c r="W339" t="s">
        <v>14</v>
      </c>
      <c r="X339">
        <v>53.35</v>
      </c>
    </row>
    <row r="340" spans="1:24" ht="15">
      <c r="A340">
        <v>333</v>
      </c>
      <c r="B340">
        <v>9204</v>
      </c>
      <c r="C340" t="s">
        <v>982</v>
      </c>
      <c r="D340" t="s">
        <v>12</v>
      </c>
      <c r="E340" t="s">
        <v>53</v>
      </c>
      <c r="F340" t="str">
        <f>"00549369"</f>
        <v>00549369</v>
      </c>
      <c r="G340">
        <v>16.25</v>
      </c>
      <c r="H340">
        <v>0</v>
      </c>
      <c r="I340">
        <v>0</v>
      </c>
      <c r="J340">
        <v>20</v>
      </c>
      <c r="K340">
        <v>20</v>
      </c>
      <c r="M340">
        <v>5</v>
      </c>
      <c r="O340">
        <v>5</v>
      </c>
      <c r="P340">
        <v>4</v>
      </c>
      <c r="Q340">
        <v>2</v>
      </c>
      <c r="R340">
        <v>47.25</v>
      </c>
      <c r="S340">
        <v>0</v>
      </c>
      <c r="T340">
        <v>0</v>
      </c>
      <c r="U340">
        <v>6</v>
      </c>
      <c r="V340">
        <v>0</v>
      </c>
      <c r="W340" t="s">
        <v>14</v>
      </c>
      <c r="X340">
        <v>53.25</v>
      </c>
    </row>
    <row r="341" spans="1:24" ht="15">
      <c r="A341">
        <v>334</v>
      </c>
      <c r="B341">
        <v>66434</v>
      </c>
      <c r="C341" t="s">
        <v>986</v>
      </c>
      <c r="D341" t="s">
        <v>17</v>
      </c>
      <c r="E341" t="s">
        <v>120</v>
      </c>
      <c r="F341" t="str">
        <f>"00436245"</f>
        <v>00436245</v>
      </c>
      <c r="G341">
        <v>19.3</v>
      </c>
      <c r="H341">
        <v>0</v>
      </c>
      <c r="I341">
        <v>0</v>
      </c>
      <c r="J341">
        <v>0</v>
      </c>
      <c r="K341">
        <v>0</v>
      </c>
      <c r="N341">
        <v>3</v>
      </c>
      <c r="O341">
        <v>3</v>
      </c>
      <c r="P341">
        <v>4</v>
      </c>
      <c r="Q341">
        <v>0</v>
      </c>
      <c r="R341">
        <v>26.3</v>
      </c>
      <c r="S341">
        <v>0</v>
      </c>
      <c r="T341">
        <v>0</v>
      </c>
      <c r="U341">
        <v>0</v>
      </c>
      <c r="V341">
        <v>26.8</v>
      </c>
      <c r="W341" t="s">
        <v>14</v>
      </c>
      <c r="X341">
        <v>53.1</v>
      </c>
    </row>
    <row r="342" spans="1:24" ht="15">
      <c r="A342">
        <v>335</v>
      </c>
      <c r="B342">
        <v>72655</v>
      </c>
      <c r="C342" t="s">
        <v>987</v>
      </c>
      <c r="D342" t="s">
        <v>29</v>
      </c>
      <c r="E342" t="s">
        <v>27</v>
      </c>
      <c r="F342" t="str">
        <f>"00608845"</f>
        <v>00608845</v>
      </c>
      <c r="G342">
        <v>19.05</v>
      </c>
      <c r="H342">
        <v>0</v>
      </c>
      <c r="I342">
        <v>0</v>
      </c>
      <c r="J342">
        <v>20</v>
      </c>
      <c r="K342">
        <v>20</v>
      </c>
      <c r="L342">
        <v>7</v>
      </c>
      <c r="N342">
        <v>3</v>
      </c>
      <c r="O342">
        <v>10</v>
      </c>
      <c r="P342">
        <v>4</v>
      </c>
      <c r="Q342">
        <v>0</v>
      </c>
      <c r="R342">
        <v>53.05</v>
      </c>
      <c r="S342">
        <v>0</v>
      </c>
      <c r="T342">
        <v>0</v>
      </c>
      <c r="U342">
        <v>0</v>
      </c>
      <c r="V342">
        <v>0</v>
      </c>
      <c r="W342" t="s">
        <v>14</v>
      </c>
      <c r="X342">
        <v>53.05</v>
      </c>
    </row>
    <row r="343" spans="1:24" ht="15">
      <c r="A343">
        <v>336</v>
      </c>
      <c r="B343">
        <v>99152</v>
      </c>
      <c r="C343" t="s">
        <v>988</v>
      </c>
      <c r="D343" t="s">
        <v>97</v>
      </c>
      <c r="E343" t="s">
        <v>53</v>
      </c>
      <c r="F343" t="str">
        <f>"00144988"</f>
        <v>00144988</v>
      </c>
      <c r="G343">
        <v>19.03</v>
      </c>
      <c r="H343">
        <v>0</v>
      </c>
      <c r="I343">
        <v>0</v>
      </c>
      <c r="J343">
        <v>20</v>
      </c>
      <c r="K343">
        <v>20</v>
      </c>
      <c r="L343">
        <v>7</v>
      </c>
      <c r="N343">
        <v>3</v>
      </c>
      <c r="O343">
        <v>10</v>
      </c>
      <c r="P343">
        <v>4</v>
      </c>
      <c r="Q343">
        <v>0</v>
      </c>
      <c r="R343">
        <v>53.03</v>
      </c>
      <c r="S343">
        <v>0</v>
      </c>
      <c r="T343">
        <v>0</v>
      </c>
      <c r="U343">
        <v>0</v>
      </c>
      <c r="V343">
        <v>0</v>
      </c>
      <c r="W343" t="s">
        <v>14</v>
      </c>
      <c r="X343">
        <v>53.03</v>
      </c>
    </row>
    <row r="344" spans="1:24" ht="15">
      <c r="A344">
        <v>337</v>
      </c>
      <c r="B344">
        <v>53232</v>
      </c>
      <c r="C344" t="s">
        <v>989</v>
      </c>
      <c r="D344" t="s">
        <v>29</v>
      </c>
      <c r="E344" t="s">
        <v>67</v>
      </c>
      <c r="F344" t="str">
        <f>"00047971"</f>
        <v>00047971</v>
      </c>
      <c r="G344">
        <v>16</v>
      </c>
      <c r="H344">
        <v>0</v>
      </c>
      <c r="I344">
        <v>0</v>
      </c>
      <c r="J344">
        <v>20</v>
      </c>
      <c r="K344">
        <v>20</v>
      </c>
      <c r="L344">
        <v>7</v>
      </c>
      <c r="O344">
        <v>7</v>
      </c>
      <c r="P344">
        <v>4</v>
      </c>
      <c r="Q344">
        <v>0</v>
      </c>
      <c r="R344">
        <v>47</v>
      </c>
      <c r="S344">
        <v>0</v>
      </c>
      <c r="T344">
        <v>0</v>
      </c>
      <c r="U344">
        <v>6</v>
      </c>
      <c r="V344">
        <v>0</v>
      </c>
      <c r="W344" t="s">
        <v>14</v>
      </c>
      <c r="X344">
        <v>53</v>
      </c>
    </row>
    <row r="345" spans="1:24" ht="15">
      <c r="A345">
        <v>338</v>
      </c>
      <c r="B345">
        <v>53672</v>
      </c>
      <c r="C345" t="s">
        <v>993</v>
      </c>
      <c r="D345" t="s">
        <v>30</v>
      </c>
      <c r="E345" t="s">
        <v>24</v>
      </c>
      <c r="F345" t="str">
        <f>"00570547"</f>
        <v>00570547</v>
      </c>
      <c r="G345">
        <v>18.95</v>
      </c>
      <c r="H345">
        <v>7</v>
      </c>
      <c r="I345">
        <v>0</v>
      </c>
      <c r="J345">
        <v>20</v>
      </c>
      <c r="K345">
        <v>20</v>
      </c>
      <c r="N345">
        <v>3</v>
      </c>
      <c r="O345">
        <v>3</v>
      </c>
      <c r="P345">
        <v>4</v>
      </c>
      <c r="Q345">
        <v>0</v>
      </c>
      <c r="R345">
        <v>52.95</v>
      </c>
      <c r="S345">
        <v>0</v>
      </c>
      <c r="T345">
        <v>0</v>
      </c>
      <c r="U345">
        <v>0</v>
      </c>
      <c r="V345">
        <v>0</v>
      </c>
      <c r="W345" t="s">
        <v>14</v>
      </c>
      <c r="X345">
        <v>52.95</v>
      </c>
    </row>
    <row r="346" spans="1:24" ht="15">
      <c r="A346">
        <v>339</v>
      </c>
      <c r="B346">
        <v>3066</v>
      </c>
      <c r="C346" t="s">
        <v>415</v>
      </c>
      <c r="D346" t="s">
        <v>153</v>
      </c>
      <c r="E346" t="s">
        <v>23</v>
      </c>
      <c r="F346" t="str">
        <f>"201511030757"</f>
        <v>201511030757</v>
      </c>
      <c r="G346">
        <v>17.93</v>
      </c>
      <c r="H346">
        <v>0</v>
      </c>
      <c r="I346">
        <v>0</v>
      </c>
      <c r="J346">
        <v>20</v>
      </c>
      <c r="K346">
        <v>20</v>
      </c>
      <c r="M346">
        <v>5</v>
      </c>
      <c r="O346">
        <v>5</v>
      </c>
      <c r="P346">
        <v>4</v>
      </c>
      <c r="Q346">
        <v>0</v>
      </c>
      <c r="R346">
        <v>46.93</v>
      </c>
      <c r="S346">
        <v>0</v>
      </c>
      <c r="T346">
        <v>0</v>
      </c>
      <c r="U346">
        <v>6</v>
      </c>
      <c r="V346">
        <v>0</v>
      </c>
      <c r="W346" t="s">
        <v>14</v>
      </c>
      <c r="X346">
        <v>52.93</v>
      </c>
    </row>
    <row r="347" spans="1:24" ht="15">
      <c r="A347">
        <v>340</v>
      </c>
      <c r="B347">
        <v>52700</v>
      </c>
      <c r="C347" t="s">
        <v>995</v>
      </c>
      <c r="D347" t="s">
        <v>29</v>
      </c>
      <c r="E347" t="s">
        <v>587</v>
      </c>
      <c r="F347" t="str">
        <f>"00613969"</f>
        <v>00613969</v>
      </c>
      <c r="G347">
        <v>16.9</v>
      </c>
      <c r="H347">
        <v>0</v>
      </c>
      <c r="I347">
        <v>0</v>
      </c>
      <c r="J347">
        <v>20</v>
      </c>
      <c r="K347">
        <v>20</v>
      </c>
      <c r="L347">
        <v>7</v>
      </c>
      <c r="M347">
        <v>5</v>
      </c>
      <c r="O347">
        <v>12</v>
      </c>
      <c r="P347">
        <v>4</v>
      </c>
      <c r="Q347">
        <v>0</v>
      </c>
      <c r="R347">
        <v>52.9</v>
      </c>
      <c r="S347">
        <v>0</v>
      </c>
      <c r="T347">
        <v>0</v>
      </c>
      <c r="U347">
        <v>0</v>
      </c>
      <c r="V347">
        <v>0</v>
      </c>
      <c r="W347" t="s">
        <v>14</v>
      </c>
      <c r="X347">
        <v>52.9</v>
      </c>
    </row>
    <row r="348" spans="1:24" ht="15">
      <c r="A348">
        <v>341</v>
      </c>
      <c r="B348">
        <v>89611</v>
      </c>
      <c r="C348" t="s">
        <v>442</v>
      </c>
      <c r="D348" t="s">
        <v>996</v>
      </c>
      <c r="E348" t="s">
        <v>12</v>
      </c>
      <c r="F348" t="str">
        <f>"00325805"</f>
        <v>00325805</v>
      </c>
      <c r="G348">
        <v>16.85</v>
      </c>
      <c r="H348">
        <v>0</v>
      </c>
      <c r="I348">
        <v>0</v>
      </c>
      <c r="J348">
        <v>20</v>
      </c>
      <c r="K348">
        <v>20</v>
      </c>
      <c r="L348">
        <v>7</v>
      </c>
      <c r="N348">
        <v>3</v>
      </c>
      <c r="O348">
        <v>10</v>
      </c>
      <c r="P348">
        <v>4</v>
      </c>
      <c r="Q348">
        <v>2</v>
      </c>
      <c r="R348">
        <v>52.85</v>
      </c>
      <c r="S348">
        <v>0</v>
      </c>
      <c r="T348">
        <v>0</v>
      </c>
      <c r="U348">
        <v>0</v>
      </c>
      <c r="V348">
        <v>0</v>
      </c>
      <c r="W348" t="s">
        <v>14</v>
      </c>
      <c r="X348">
        <v>52.85</v>
      </c>
    </row>
    <row r="349" spans="1:24" ht="15">
      <c r="A349">
        <v>342</v>
      </c>
      <c r="B349">
        <v>22781</v>
      </c>
      <c r="C349" t="s">
        <v>997</v>
      </c>
      <c r="D349" t="s">
        <v>21</v>
      </c>
      <c r="E349" t="s">
        <v>12</v>
      </c>
      <c r="F349" t="str">
        <f>"200801008021"</f>
        <v>200801008021</v>
      </c>
      <c r="G349">
        <v>15.8</v>
      </c>
      <c r="H349">
        <v>0</v>
      </c>
      <c r="I349">
        <v>0</v>
      </c>
      <c r="J349">
        <v>28</v>
      </c>
      <c r="K349">
        <v>28</v>
      </c>
      <c r="O349">
        <v>0</v>
      </c>
      <c r="P349">
        <v>4</v>
      </c>
      <c r="Q349">
        <v>2</v>
      </c>
      <c r="R349">
        <v>49.8</v>
      </c>
      <c r="S349">
        <v>0</v>
      </c>
      <c r="T349">
        <v>0</v>
      </c>
      <c r="U349">
        <v>3</v>
      </c>
      <c r="V349">
        <v>0</v>
      </c>
      <c r="W349" t="s">
        <v>14</v>
      </c>
      <c r="X349">
        <v>52.8</v>
      </c>
    </row>
    <row r="350" spans="1:24" ht="15">
      <c r="A350">
        <v>343</v>
      </c>
      <c r="B350">
        <v>64021</v>
      </c>
      <c r="C350" t="s">
        <v>998</v>
      </c>
      <c r="D350" t="s">
        <v>75</v>
      </c>
      <c r="E350" t="s">
        <v>17</v>
      </c>
      <c r="F350" t="str">
        <f>"201504004554"</f>
        <v>201504004554</v>
      </c>
      <c r="G350">
        <v>21.8</v>
      </c>
      <c r="H350">
        <v>0</v>
      </c>
      <c r="I350">
        <v>0</v>
      </c>
      <c r="J350">
        <v>20</v>
      </c>
      <c r="K350">
        <v>20</v>
      </c>
      <c r="L350">
        <v>7</v>
      </c>
      <c r="O350">
        <v>7</v>
      </c>
      <c r="P350">
        <v>4</v>
      </c>
      <c r="Q350">
        <v>0</v>
      </c>
      <c r="R350">
        <v>52.8</v>
      </c>
      <c r="S350">
        <v>0</v>
      </c>
      <c r="T350">
        <v>0</v>
      </c>
      <c r="U350">
        <v>0</v>
      </c>
      <c r="V350">
        <v>0</v>
      </c>
      <c r="W350" t="s">
        <v>14</v>
      </c>
      <c r="X350">
        <v>52.8</v>
      </c>
    </row>
    <row r="351" spans="1:24" ht="15">
      <c r="A351">
        <v>344</v>
      </c>
      <c r="B351">
        <v>100373</v>
      </c>
      <c r="C351" t="s">
        <v>999</v>
      </c>
      <c r="D351" t="s">
        <v>27</v>
      </c>
      <c r="E351" t="s">
        <v>273</v>
      </c>
      <c r="F351" t="str">
        <f>"00445268"</f>
        <v>00445268</v>
      </c>
      <c r="G351">
        <v>15.93</v>
      </c>
      <c r="H351">
        <v>0</v>
      </c>
      <c r="I351">
        <v>0</v>
      </c>
      <c r="J351">
        <v>0</v>
      </c>
      <c r="K351">
        <v>0</v>
      </c>
      <c r="N351">
        <v>3</v>
      </c>
      <c r="O351">
        <v>3</v>
      </c>
      <c r="P351">
        <v>4</v>
      </c>
      <c r="Q351">
        <v>0</v>
      </c>
      <c r="R351">
        <v>22.93</v>
      </c>
      <c r="S351">
        <v>0</v>
      </c>
      <c r="T351">
        <v>0</v>
      </c>
      <c r="U351">
        <v>3</v>
      </c>
      <c r="V351">
        <v>26.8</v>
      </c>
      <c r="W351" t="s">
        <v>14</v>
      </c>
      <c r="X351">
        <v>52.73</v>
      </c>
    </row>
    <row r="352" spans="1:24" ht="15">
      <c r="A352">
        <v>345</v>
      </c>
      <c r="B352">
        <v>33462</v>
      </c>
      <c r="C352" t="s">
        <v>1002</v>
      </c>
      <c r="D352" t="s">
        <v>349</v>
      </c>
      <c r="E352" t="s">
        <v>20</v>
      </c>
      <c r="F352" t="str">
        <f>"201412004024"</f>
        <v>201412004024</v>
      </c>
      <c r="G352">
        <v>16.7</v>
      </c>
      <c r="H352">
        <v>0</v>
      </c>
      <c r="I352">
        <v>0</v>
      </c>
      <c r="J352">
        <v>20</v>
      </c>
      <c r="K352">
        <v>20</v>
      </c>
      <c r="L352">
        <v>7</v>
      </c>
      <c r="M352">
        <v>5</v>
      </c>
      <c r="O352">
        <v>12</v>
      </c>
      <c r="P352">
        <v>4</v>
      </c>
      <c r="Q352">
        <v>0</v>
      </c>
      <c r="R352">
        <v>52.7</v>
      </c>
      <c r="S352">
        <v>0</v>
      </c>
      <c r="T352">
        <v>0</v>
      </c>
      <c r="U352">
        <v>0</v>
      </c>
      <c r="V352">
        <v>0</v>
      </c>
      <c r="W352" t="s">
        <v>14</v>
      </c>
      <c r="X352">
        <v>52.7</v>
      </c>
    </row>
    <row r="353" spans="1:24" ht="15">
      <c r="A353">
        <v>346</v>
      </c>
      <c r="B353">
        <v>21360</v>
      </c>
      <c r="C353" t="s">
        <v>144</v>
      </c>
      <c r="D353" t="s">
        <v>50</v>
      </c>
      <c r="E353" t="s">
        <v>120</v>
      </c>
      <c r="F353" t="str">
        <f>"200811001162"</f>
        <v>200811001162</v>
      </c>
      <c r="G353">
        <v>16.65</v>
      </c>
      <c r="H353">
        <v>7</v>
      </c>
      <c r="I353">
        <v>0</v>
      </c>
      <c r="J353">
        <v>20</v>
      </c>
      <c r="K353">
        <v>20</v>
      </c>
      <c r="N353">
        <v>3</v>
      </c>
      <c r="O353">
        <v>3</v>
      </c>
      <c r="P353">
        <v>4</v>
      </c>
      <c r="Q353">
        <v>2</v>
      </c>
      <c r="R353">
        <v>52.65</v>
      </c>
      <c r="S353">
        <v>0</v>
      </c>
      <c r="T353">
        <v>0</v>
      </c>
      <c r="U353">
        <v>0</v>
      </c>
      <c r="V353">
        <v>0</v>
      </c>
      <c r="W353" t="s">
        <v>14</v>
      </c>
      <c r="X353">
        <v>52.65</v>
      </c>
    </row>
    <row r="354" spans="1:24" ht="15">
      <c r="A354">
        <v>347</v>
      </c>
      <c r="B354">
        <v>92609</v>
      </c>
      <c r="C354" t="s">
        <v>605</v>
      </c>
      <c r="D354" t="s">
        <v>360</v>
      </c>
      <c r="E354" t="s">
        <v>12</v>
      </c>
      <c r="F354" t="str">
        <f>"00637625"</f>
        <v>00637625</v>
      </c>
      <c r="G354">
        <v>16.63</v>
      </c>
      <c r="H354">
        <v>0</v>
      </c>
      <c r="I354">
        <v>0</v>
      </c>
      <c r="J354">
        <v>20</v>
      </c>
      <c r="K354">
        <v>20</v>
      </c>
      <c r="L354">
        <v>7</v>
      </c>
      <c r="O354">
        <v>7</v>
      </c>
      <c r="P354">
        <v>4</v>
      </c>
      <c r="Q354">
        <v>2</v>
      </c>
      <c r="R354">
        <v>49.63</v>
      </c>
      <c r="S354">
        <v>0</v>
      </c>
      <c r="T354">
        <v>0</v>
      </c>
      <c r="U354">
        <v>3</v>
      </c>
      <c r="V354">
        <v>0</v>
      </c>
      <c r="W354" t="s">
        <v>14</v>
      </c>
      <c r="X354">
        <v>52.63</v>
      </c>
    </row>
    <row r="355" spans="1:24" ht="15">
      <c r="A355">
        <v>348</v>
      </c>
      <c r="B355">
        <v>42788</v>
      </c>
      <c r="C355" t="s">
        <v>1007</v>
      </c>
      <c r="D355" t="s">
        <v>27</v>
      </c>
      <c r="E355" t="s">
        <v>67</v>
      </c>
      <c r="F355" t="str">
        <f>"00564862"</f>
        <v>00564862</v>
      </c>
      <c r="G355">
        <v>17.6</v>
      </c>
      <c r="H355">
        <v>0</v>
      </c>
      <c r="I355">
        <v>0</v>
      </c>
      <c r="J355">
        <v>20</v>
      </c>
      <c r="K355">
        <v>20</v>
      </c>
      <c r="N355">
        <v>3</v>
      </c>
      <c r="O355">
        <v>3</v>
      </c>
      <c r="P355">
        <v>4</v>
      </c>
      <c r="Q355">
        <v>2</v>
      </c>
      <c r="R355">
        <v>46.6</v>
      </c>
      <c r="S355">
        <v>0</v>
      </c>
      <c r="T355">
        <v>0</v>
      </c>
      <c r="U355">
        <v>6</v>
      </c>
      <c r="V355">
        <v>0</v>
      </c>
      <c r="W355" t="s">
        <v>14</v>
      </c>
      <c r="X355">
        <v>52.6</v>
      </c>
    </row>
    <row r="356" spans="1:24" ht="15">
      <c r="A356">
        <v>349</v>
      </c>
      <c r="B356">
        <v>11351</v>
      </c>
      <c r="C356" t="s">
        <v>1008</v>
      </c>
      <c r="D356" t="s">
        <v>1009</v>
      </c>
      <c r="E356" t="s">
        <v>17</v>
      </c>
      <c r="F356" t="str">
        <f>"00458805"</f>
        <v>00458805</v>
      </c>
      <c r="G356">
        <v>21.6</v>
      </c>
      <c r="H356">
        <v>0</v>
      </c>
      <c r="I356">
        <v>0</v>
      </c>
      <c r="J356">
        <v>20</v>
      </c>
      <c r="K356">
        <v>20</v>
      </c>
      <c r="L356">
        <v>7</v>
      </c>
      <c r="O356">
        <v>7</v>
      </c>
      <c r="P356">
        <v>4</v>
      </c>
      <c r="Q356">
        <v>0</v>
      </c>
      <c r="R356">
        <v>52.6</v>
      </c>
      <c r="S356">
        <v>0</v>
      </c>
      <c r="T356">
        <v>0</v>
      </c>
      <c r="U356">
        <v>0</v>
      </c>
      <c r="V356">
        <v>0</v>
      </c>
      <c r="W356" t="s">
        <v>14</v>
      </c>
      <c r="X356">
        <v>52.6</v>
      </c>
    </row>
    <row r="357" spans="1:24" ht="15">
      <c r="A357">
        <v>350</v>
      </c>
      <c r="B357">
        <v>75924</v>
      </c>
      <c r="C357" t="s">
        <v>1010</v>
      </c>
      <c r="D357" t="s">
        <v>363</v>
      </c>
      <c r="E357" t="s">
        <v>53</v>
      </c>
      <c r="F357" t="str">
        <f>"00229807"</f>
        <v>00229807</v>
      </c>
      <c r="G357">
        <v>17.6</v>
      </c>
      <c r="H357">
        <v>0</v>
      </c>
      <c r="I357">
        <v>0</v>
      </c>
      <c r="J357">
        <v>28</v>
      </c>
      <c r="K357">
        <v>28</v>
      </c>
      <c r="N357">
        <v>3</v>
      </c>
      <c r="O357">
        <v>3</v>
      </c>
      <c r="P357">
        <v>4</v>
      </c>
      <c r="Q357">
        <v>0</v>
      </c>
      <c r="R357">
        <v>52.6</v>
      </c>
      <c r="S357">
        <v>0</v>
      </c>
      <c r="T357">
        <v>0</v>
      </c>
      <c r="U357">
        <v>0</v>
      </c>
      <c r="V357">
        <v>0</v>
      </c>
      <c r="W357" t="s">
        <v>14</v>
      </c>
      <c r="X357">
        <v>52.6</v>
      </c>
    </row>
    <row r="358" spans="1:24" ht="15">
      <c r="A358">
        <v>351</v>
      </c>
      <c r="B358">
        <v>99046</v>
      </c>
      <c r="C358" t="s">
        <v>1011</v>
      </c>
      <c r="D358" t="s">
        <v>288</v>
      </c>
      <c r="E358" t="s">
        <v>67</v>
      </c>
      <c r="F358" t="str">
        <f>"00310997"</f>
        <v>00310997</v>
      </c>
      <c r="G358">
        <v>21.58</v>
      </c>
      <c r="H358">
        <v>0</v>
      </c>
      <c r="I358">
        <v>0</v>
      </c>
      <c r="J358">
        <v>20</v>
      </c>
      <c r="K358">
        <v>20</v>
      </c>
      <c r="L358">
        <v>7</v>
      </c>
      <c r="O358">
        <v>7</v>
      </c>
      <c r="P358">
        <v>4</v>
      </c>
      <c r="Q358">
        <v>0</v>
      </c>
      <c r="R358">
        <v>52.58</v>
      </c>
      <c r="S358">
        <v>0</v>
      </c>
      <c r="T358">
        <v>0</v>
      </c>
      <c r="U358">
        <v>0</v>
      </c>
      <c r="V358">
        <v>0</v>
      </c>
      <c r="W358" t="s">
        <v>14</v>
      </c>
      <c r="X358">
        <v>52.58</v>
      </c>
    </row>
    <row r="359" spans="1:24" ht="15">
      <c r="A359">
        <v>352</v>
      </c>
      <c r="B359">
        <v>101297</v>
      </c>
      <c r="C359" t="s">
        <v>1012</v>
      </c>
      <c r="D359" t="s">
        <v>41</v>
      </c>
      <c r="E359" t="s">
        <v>60</v>
      </c>
      <c r="F359" t="str">
        <f>"201411001528"</f>
        <v>201411001528</v>
      </c>
      <c r="G359">
        <v>18.58</v>
      </c>
      <c r="H359">
        <v>0</v>
      </c>
      <c r="I359">
        <v>0</v>
      </c>
      <c r="J359">
        <v>20</v>
      </c>
      <c r="K359">
        <v>20</v>
      </c>
      <c r="L359">
        <v>7</v>
      </c>
      <c r="N359">
        <v>3</v>
      </c>
      <c r="O359">
        <v>10</v>
      </c>
      <c r="P359">
        <v>4</v>
      </c>
      <c r="Q359">
        <v>0</v>
      </c>
      <c r="R359">
        <v>52.58</v>
      </c>
      <c r="S359">
        <v>0</v>
      </c>
      <c r="T359">
        <v>0</v>
      </c>
      <c r="U359">
        <v>0</v>
      </c>
      <c r="V359">
        <v>0</v>
      </c>
      <c r="W359" t="s">
        <v>14</v>
      </c>
      <c r="X359">
        <v>52.58</v>
      </c>
    </row>
    <row r="360" spans="1:24" ht="15">
      <c r="A360">
        <v>353</v>
      </c>
      <c r="B360">
        <v>22970</v>
      </c>
      <c r="C360" t="s">
        <v>1013</v>
      </c>
      <c r="D360" t="s">
        <v>50</v>
      </c>
      <c r="E360" t="s">
        <v>23</v>
      </c>
      <c r="F360" t="str">
        <f>"201512002300"</f>
        <v>201512002300</v>
      </c>
      <c r="G360">
        <v>16.58</v>
      </c>
      <c r="H360">
        <v>0</v>
      </c>
      <c r="I360">
        <v>0</v>
      </c>
      <c r="J360">
        <v>20</v>
      </c>
      <c r="K360">
        <v>20</v>
      </c>
      <c r="L360">
        <v>7</v>
      </c>
      <c r="N360">
        <v>3</v>
      </c>
      <c r="O360">
        <v>10</v>
      </c>
      <c r="P360">
        <v>4</v>
      </c>
      <c r="Q360">
        <v>2</v>
      </c>
      <c r="R360">
        <v>52.58</v>
      </c>
      <c r="S360">
        <v>0</v>
      </c>
      <c r="T360">
        <v>0</v>
      </c>
      <c r="U360">
        <v>0</v>
      </c>
      <c r="V360">
        <v>0</v>
      </c>
      <c r="W360" t="s">
        <v>14</v>
      </c>
      <c r="X360">
        <v>52.58</v>
      </c>
    </row>
    <row r="361" spans="1:24" ht="15">
      <c r="A361">
        <v>354</v>
      </c>
      <c r="B361">
        <v>1580</v>
      </c>
      <c r="C361" t="s">
        <v>96</v>
      </c>
      <c r="D361" t="s">
        <v>29</v>
      </c>
      <c r="E361" t="s">
        <v>17</v>
      </c>
      <c r="F361" t="str">
        <f>"00298460"</f>
        <v>00298460</v>
      </c>
      <c r="G361">
        <v>17.53</v>
      </c>
      <c r="H361">
        <v>0</v>
      </c>
      <c r="I361">
        <v>0</v>
      </c>
      <c r="J361">
        <v>20</v>
      </c>
      <c r="K361">
        <v>20</v>
      </c>
      <c r="M361">
        <v>5</v>
      </c>
      <c r="O361">
        <v>5</v>
      </c>
      <c r="P361">
        <v>4</v>
      </c>
      <c r="Q361">
        <v>0</v>
      </c>
      <c r="R361">
        <v>46.53</v>
      </c>
      <c r="S361">
        <v>0</v>
      </c>
      <c r="T361">
        <v>0</v>
      </c>
      <c r="U361">
        <v>6</v>
      </c>
      <c r="V361">
        <v>0</v>
      </c>
      <c r="W361" t="s">
        <v>14</v>
      </c>
      <c r="X361">
        <v>52.53</v>
      </c>
    </row>
    <row r="362" spans="1:24" ht="15">
      <c r="A362">
        <v>355</v>
      </c>
      <c r="B362">
        <v>31359</v>
      </c>
      <c r="C362" t="s">
        <v>1017</v>
      </c>
      <c r="D362" t="s">
        <v>370</v>
      </c>
      <c r="E362" t="s">
        <v>288</v>
      </c>
      <c r="F362" t="str">
        <f>"00238763"</f>
        <v>00238763</v>
      </c>
      <c r="G362">
        <v>16.5</v>
      </c>
      <c r="H362">
        <v>0</v>
      </c>
      <c r="I362">
        <v>0</v>
      </c>
      <c r="J362">
        <v>20</v>
      </c>
      <c r="K362">
        <v>20</v>
      </c>
      <c r="L362">
        <v>7</v>
      </c>
      <c r="N362">
        <v>3</v>
      </c>
      <c r="O362">
        <v>10</v>
      </c>
      <c r="P362">
        <v>4</v>
      </c>
      <c r="Q362">
        <v>2</v>
      </c>
      <c r="R362">
        <v>52.5</v>
      </c>
      <c r="S362">
        <v>0</v>
      </c>
      <c r="T362">
        <v>0</v>
      </c>
      <c r="U362">
        <v>0</v>
      </c>
      <c r="V362">
        <v>0</v>
      </c>
      <c r="W362" t="s">
        <v>14</v>
      </c>
      <c r="X362">
        <v>52.5</v>
      </c>
    </row>
    <row r="363" spans="1:24" ht="15">
      <c r="A363">
        <v>356</v>
      </c>
      <c r="B363">
        <v>29396</v>
      </c>
      <c r="C363" t="s">
        <v>1018</v>
      </c>
      <c r="D363" t="s">
        <v>29</v>
      </c>
      <c r="E363" t="s">
        <v>113</v>
      </c>
      <c r="F363" t="str">
        <f>"00430975"</f>
        <v>00430975</v>
      </c>
      <c r="G363">
        <v>17.5</v>
      </c>
      <c r="H363">
        <v>0</v>
      </c>
      <c r="I363">
        <v>0</v>
      </c>
      <c r="J363">
        <v>20</v>
      </c>
      <c r="K363">
        <v>20</v>
      </c>
      <c r="L363">
        <v>7</v>
      </c>
      <c r="O363">
        <v>7</v>
      </c>
      <c r="P363">
        <v>4</v>
      </c>
      <c r="Q363">
        <v>2</v>
      </c>
      <c r="R363">
        <v>50.5</v>
      </c>
      <c r="S363">
        <v>2</v>
      </c>
      <c r="T363">
        <v>2</v>
      </c>
      <c r="U363">
        <v>0</v>
      </c>
      <c r="V363">
        <v>0</v>
      </c>
      <c r="W363" t="s">
        <v>14</v>
      </c>
      <c r="X363">
        <v>52.5</v>
      </c>
    </row>
    <row r="364" spans="1:24" ht="15">
      <c r="A364">
        <v>357</v>
      </c>
      <c r="B364">
        <v>4365</v>
      </c>
      <c r="C364" t="s">
        <v>1022</v>
      </c>
      <c r="D364" t="s">
        <v>46</v>
      </c>
      <c r="E364" t="s">
        <v>1023</v>
      </c>
      <c r="F364" t="str">
        <f>"00361228"</f>
        <v>00361228</v>
      </c>
      <c r="G364">
        <v>20.48</v>
      </c>
      <c r="H364">
        <v>0</v>
      </c>
      <c r="I364">
        <v>0</v>
      </c>
      <c r="J364">
        <v>20</v>
      </c>
      <c r="K364">
        <v>20</v>
      </c>
      <c r="M364">
        <v>5</v>
      </c>
      <c r="N364">
        <v>3</v>
      </c>
      <c r="O364">
        <v>8</v>
      </c>
      <c r="P364">
        <v>4</v>
      </c>
      <c r="Q364">
        <v>0</v>
      </c>
      <c r="R364">
        <v>52.48</v>
      </c>
      <c r="S364">
        <v>0</v>
      </c>
      <c r="T364">
        <v>0</v>
      </c>
      <c r="U364">
        <v>0</v>
      </c>
      <c r="V364">
        <v>0</v>
      </c>
      <c r="W364" t="s">
        <v>14</v>
      </c>
      <c r="X364">
        <v>52.48</v>
      </c>
    </row>
    <row r="365" spans="1:24" ht="15">
      <c r="A365">
        <v>358</v>
      </c>
      <c r="B365">
        <v>87232</v>
      </c>
      <c r="C365" t="s">
        <v>1024</v>
      </c>
      <c r="D365" t="s">
        <v>186</v>
      </c>
      <c r="E365" t="s">
        <v>21</v>
      </c>
      <c r="F365" t="str">
        <f>"00145259"</f>
        <v>00145259</v>
      </c>
      <c r="G365">
        <v>16.48</v>
      </c>
      <c r="H365">
        <v>0</v>
      </c>
      <c r="I365">
        <v>0</v>
      </c>
      <c r="J365">
        <v>20</v>
      </c>
      <c r="K365">
        <v>20</v>
      </c>
      <c r="L365">
        <v>7</v>
      </c>
      <c r="N365">
        <v>3</v>
      </c>
      <c r="O365">
        <v>10</v>
      </c>
      <c r="P365">
        <v>4</v>
      </c>
      <c r="Q365">
        <v>2</v>
      </c>
      <c r="R365">
        <v>52.48</v>
      </c>
      <c r="S365">
        <v>0</v>
      </c>
      <c r="T365">
        <v>0</v>
      </c>
      <c r="U365">
        <v>0</v>
      </c>
      <c r="V365">
        <v>0</v>
      </c>
      <c r="W365" t="s">
        <v>14</v>
      </c>
      <c r="X365">
        <v>52.48</v>
      </c>
    </row>
    <row r="366" spans="1:24" ht="15">
      <c r="A366">
        <v>359</v>
      </c>
      <c r="B366">
        <v>33815</v>
      </c>
      <c r="C366" t="s">
        <v>1026</v>
      </c>
      <c r="D366" t="s">
        <v>1027</v>
      </c>
      <c r="E366" t="s">
        <v>12</v>
      </c>
      <c r="F366" t="str">
        <f>"00142382"</f>
        <v>00142382</v>
      </c>
      <c r="G366">
        <v>15.43</v>
      </c>
      <c r="H366">
        <v>0</v>
      </c>
      <c r="I366">
        <v>0</v>
      </c>
      <c r="J366">
        <v>20</v>
      </c>
      <c r="K366">
        <v>20</v>
      </c>
      <c r="L366">
        <v>7</v>
      </c>
      <c r="O366">
        <v>7</v>
      </c>
      <c r="P366">
        <v>4</v>
      </c>
      <c r="Q366">
        <v>0</v>
      </c>
      <c r="R366">
        <v>46.43</v>
      </c>
      <c r="S366">
        <v>0</v>
      </c>
      <c r="T366">
        <v>0</v>
      </c>
      <c r="U366">
        <v>6</v>
      </c>
      <c r="V366">
        <v>0</v>
      </c>
      <c r="W366" t="s">
        <v>14</v>
      </c>
      <c r="X366">
        <v>52.43</v>
      </c>
    </row>
    <row r="367" spans="1:24" ht="15">
      <c r="A367">
        <v>360</v>
      </c>
      <c r="B367">
        <v>38431</v>
      </c>
      <c r="C367" t="s">
        <v>1028</v>
      </c>
      <c r="D367" t="s">
        <v>139</v>
      </c>
      <c r="E367" t="s">
        <v>124</v>
      </c>
      <c r="F367" t="str">
        <f>"00285324"</f>
        <v>00285324</v>
      </c>
      <c r="G367">
        <v>18.43</v>
      </c>
      <c r="H367">
        <v>0</v>
      </c>
      <c r="I367">
        <v>0</v>
      </c>
      <c r="J367">
        <v>20</v>
      </c>
      <c r="K367">
        <v>20</v>
      </c>
      <c r="O367">
        <v>0</v>
      </c>
      <c r="P367">
        <v>4</v>
      </c>
      <c r="Q367">
        <v>2</v>
      </c>
      <c r="R367">
        <v>44.43</v>
      </c>
      <c r="S367">
        <v>8</v>
      </c>
      <c r="T367">
        <v>8</v>
      </c>
      <c r="U367">
        <v>0</v>
      </c>
      <c r="V367">
        <v>0</v>
      </c>
      <c r="W367" t="s">
        <v>14</v>
      </c>
      <c r="X367">
        <v>52.43</v>
      </c>
    </row>
    <row r="368" spans="1:24" ht="15">
      <c r="A368">
        <v>361</v>
      </c>
      <c r="B368">
        <v>97794</v>
      </c>
      <c r="C368" t="s">
        <v>1029</v>
      </c>
      <c r="D368" t="s">
        <v>29</v>
      </c>
      <c r="E368" t="s">
        <v>80</v>
      </c>
      <c r="F368" t="str">
        <f>"200801007321"</f>
        <v>200801007321</v>
      </c>
      <c r="G368">
        <v>17.38</v>
      </c>
      <c r="H368">
        <v>0</v>
      </c>
      <c r="I368">
        <v>0</v>
      </c>
      <c r="J368">
        <v>20</v>
      </c>
      <c r="K368">
        <v>20</v>
      </c>
      <c r="N368">
        <v>3</v>
      </c>
      <c r="O368">
        <v>3</v>
      </c>
      <c r="P368">
        <v>4</v>
      </c>
      <c r="Q368">
        <v>2</v>
      </c>
      <c r="R368">
        <v>46.38</v>
      </c>
      <c r="S368">
        <v>0</v>
      </c>
      <c r="T368">
        <v>0</v>
      </c>
      <c r="U368">
        <v>6</v>
      </c>
      <c r="V368">
        <v>0</v>
      </c>
      <c r="W368" t="s">
        <v>14</v>
      </c>
      <c r="X368">
        <v>52.38</v>
      </c>
    </row>
    <row r="369" spans="1:24" ht="15">
      <c r="A369">
        <v>362</v>
      </c>
      <c r="B369">
        <v>27161</v>
      </c>
      <c r="C369" t="s">
        <v>706</v>
      </c>
      <c r="D369" t="s">
        <v>662</v>
      </c>
      <c r="E369" t="s">
        <v>135</v>
      </c>
      <c r="F369" t="str">
        <f>"00157069"</f>
        <v>00157069</v>
      </c>
      <c r="G369">
        <v>19.35</v>
      </c>
      <c r="H369">
        <v>0</v>
      </c>
      <c r="I369">
        <v>0</v>
      </c>
      <c r="J369">
        <v>20</v>
      </c>
      <c r="K369">
        <v>20</v>
      </c>
      <c r="L369">
        <v>7</v>
      </c>
      <c r="O369">
        <v>7</v>
      </c>
      <c r="P369">
        <v>4</v>
      </c>
      <c r="Q369">
        <v>2</v>
      </c>
      <c r="R369">
        <v>52.35</v>
      </c>
      <c r="S369">
        <v>0</v>
      </c>
      <c r="T369">
        <v>0</v>
      </c>
      <c r="U369">
        <v>0</v>
      </c>
      <c r="V369">
        <v>0</v>
      </c>
      <c r="W369" t="s">
        <v>14</v>
      </c>
      <c r="X369">
        <v>52.35</v>
      </c>
    </row>
    <row r="370" spans="1:24" ht="15">
      <c r="A370">
        <v>363</v>
      </c>
      <c r="B370">
        <v>13919</v>
      </c>
      <c r="C370" t="s">
        <v>1030</v>
      </c>
      <c r="D370" t="s">
        <v>1031</v>
      </c>
      <c r="E370" t="s">
        <v>73</v>
      </c>
      <c r="F370" t="str">
        <f>"201204000098"</f>
        <v>201204000098</v>
      </c>
      <c r="G370">
        <v>18.33</v>
      </c>
      <c r="H370">
        <v>0</v>
      </c>
      <c r="I370">
        <v>0</v>
      </c>
      <c r="J370">
        <v>20</v>
      </c>
      <c r="K370">
        <v>20</v>
      </c>
      <c r="L370">
        <v>7</v>
      </c>
      <c r="O370">
        <v>7</v>
      </c>
      <c r="P370">
        <v>4</v>
      </c>
      <c r="Q370">
        <v>0</v>
      </c>
      <c r="R370">
        <v>49.33</v>
      </c>
      <c r="S370">
        <v>0</v>
      </c>
      <c r="T370">
        <v>0</v>
      </c>
      <c r="U370">
        <v>3</v>
      </c>
      <c r="V370">
        <v>0</v>
      </c>
      <c r="W370" t="s">
        <v>14</v>
      </c>
      <c r="X370">
        <v>52.33</v>
      </c>
    </row>
    <row r="371" spans="1:24" ht="15">
      <c r="A371">
        <v>364</v>
      </c>
      <c r="B371">
        <v>97271</v>
      </c>
      <c r="C371" t="s">
        <v>1032</v>
      </c>
      <c r="D371" t="s">
        <v>173</v>
      </c>
      <c r="E371" t="s">
        <v>27</v>
      </c>
      <c r="F371" t="str">
        <f>"00358840"</f>
        <v>00358840</v>
      </c>
      <c r="G371">
        <v>15.3</v>
      </c>
      <c r="H371">
        <v>0</v>
      </c>
      <c r="I371">
        <v>0</v>
      </c>
      <c r="J371">
        <v>20</v>
      </c>
      <c r="K371">
        <v>20</v>
      </c>
      <c r="L371">
        <v>7</v>
      </c>
      <c r="N371">
        <v>3</v>
      </c>
      <c r="O371">
        <v>10</v>
      </c>
      <c r="P371">
        <v>4</v>
      </c>
      <c r="Q371">
        <v>0</v>
      </c>
      <c r="R371">
        <v>49.3</v>
      </c>
      <c r="S371">
        <v>0</v>
      </c>
      <c r="T371">
        <v>0</v>
      </c>
      <c r="U371">
        <v>3</v>
      </c>
      <c r="V371">
        <v>0</v>
      </c>
      <c r="W371" t="s">
        <v>14</v>
      </c>
      <c r="X371">
        <v>52.3</v>
      </c>
    </row>
    <row r="372" spans="1:24" ht="15">
      <c r="A372">
        <v>365</v>
      </c>
      <c r="B372">
        <v>30125</v>
      </c>
      <c r="C372" t="s">
        <v>1033</v>
      </c>
      <c r="D372" t="s">
        <v>1034</v>
      </c>
      <c r="E372" t="s">
        <v>30</v>
      </c>
      <c r="F372" t="str">
        <f>"00169068"</f>
        <v>00169068</v>
      </c>
      <c r="G372">
        <v>18.28</v>
      </c>
      <c r="H372">
        <v>0</v>
      </c>
      <c r="I372">
        <v>0</v>
      </c>
      <c r="J372">
        <v>20</v>
      </c>
      <c r="K372">
        <v>20</v>
      </c>
      <c r="L372">
        <v>7</v>
      </c>
      <c r="N372">
        <v>3</v>
      </c>
      <c r="O372">
        <v>10</v>
      </c>
      <c r="P372">
        <v>4</v>
      </c>
      <c r="Q372">
        <v>0</v>
      </c>
      <c r="R372">
        <v>52.28</v>
      </c>
      <c r="S372">
        <v>0</v>
      </c>
      <c r="T372">
        <v>0</v>
      </c>
      <c r="U372">
        <v>0</v>
      </c>
      <c r="V372">
        <v>0</v>
      </c>
      <c r="W372" t="s">
        <v>14</v>
      </c>
      <c r="X372">
        <v>52.28</v>
      </c>
    </row>
    <row r="373" spans="1:24" ht="15">
      <c r="A373">
        <v>366</v>
      </c>
      <c r="B373">
        <v>16170</v>
      </c>
      <c r="C373" t="s">
        <v>1036</v>
      </c>
      <c r="D373" t="s">
        <v>41</v>
      </c>
      <c r="E373" t="s">
        <v>1037</v>
      </c>
      <c r="F373" t="str">
        <f>"00599684"</f>
        <v>00599684</v>
      </c>
      <c r="G373">
        <v>18.25</v>
      </c>
      <c r="H373">
        <v>7</v>
      </c>
      <c r="I373">
        <v>0</v>
      </c>
      <c r="J373">
        <v>20</v>
      </c>
      <c r="K373">
        <v>20</v>
      </c>
      <c r="N373">
        <v>3</v>
      </c>
      <c r="O373">
        <v>3</v>
      </c>
      <c r="P373">
        <v>4</v>
      </c>
      <c r="Q373">
        <v>0</v>
      </c>
      <c r="R373">
        <v>52.25</v>
      </c>
      <c r="S373">
        <v>0</v>
      </c>
      <c r="T373">
        <v>0</v>
      </c>
      <c r="U373">
        <v>0</v>
      </c>
      <c r="V373">
        <v>0</v>
      </c>
      <c r="W373" t="s">
        <v>14</v>
      </c>
      <c r="X373">
        <v>52.25</v>
      </c>
    </row>
    <row r="374" spans="1:24" ht="15">
      <c r="A374">
        <v>367</v>
      </c>
      <c r="B374">
        <v>57257</v>
      </c>
      <c r="C374" t="s">
        <v>1038</v>
      </c>
      <c r="D374" t="s">
        <v>1039</v>
      </c>
      <c r="E374" t="s">
        <v>21</v>
      </c>
      <c r="F374" t="str">
        <f>"00572421"</f>
        <v>00572421</v>
      </c>
      <c r="G374">
        <v>16.25</v>
      </c>
      <c r="H374">
        <v>7</v>
      </c>
      <c r="I374">
        <v>0</v>
      </c>
      <c r="J374">
        <v>20</v>
      </c>
      <c r="K374">
        <v>20</v>
      </c>
      <c r="M374">
        <v>5</v>
      </c>
      <c r="O374">
        <v>5</v>
      </c>
      <c r="P374">
        <v>4</v>
      </c>
      <c r="Q374">
        <v>0</v>
      </c>
      <c r="R374">
        <v>52.25</v>
      </c>
      <c r="S374">
        <v>0</v>
      </c>
      <c r="T374">
        <v>0</v>
      </c>
      <c r="U374">
        <v>0</v>
      </c>
      <c r="V374">
        <v>0</v>
      </c>
      <c r="W374" t="s">
        <v>14</v>
      </c>
      <c r="X374">
        <v>52.25</v>
      </c>
    </row>
    <row r="375" spans="1:24" ht="15">
      <c r="A375">
        <v>368</v>
      </c>
      <c r="B375">
        <v>80165</v>
      </c>
      <c r="C375" t="s">
        <v>1041</v>
      </c>
      <c r="D375" t="s">
        <v>41</v>
      </c>
      <c r="E375" t="s">
        <v>207</v>
      </c>
      <c r="F375" t="str">
        <f>"201410011028"</f>
        <v>201410011028</v>
      </c>
      <c r="G375">
        <v>17.23</v>
      </c>
      <c r="H375">
        <v>0</v>
      </c>
      <c r="I375">
        <v>0</v>
      </c>
      <c r="J375">
        <v>28</v>
      </c>
      <c r="K375">
        <v>28</v>
      </c>
      <c r="N375">
        <v>3</v>
      </c>
      <c r="O375">
        <v>3</v>
      </c>
      <c r="P375">
        <v>4</v>
      </c>
      <c r="Q375">
        <v>0</v>
      </c>
      <c r="R375">
        <v>52.23</v>
      </c>
      <c r="S375">
        <v>0</v>
      </c>
      <c r="T375">
        <v>0</v>
      </c>
      <c r="U375">
        <v>0</v>
      </c>
      <c r="V375">
        <v>0</v>
      </c>
      <c r="W375" t="s">
        <v>14</v>
      </c>
      <c r="X375">
        <v>52.23</v>
      </c>
    </row>
    <row r="376" spans="1:24" ht="15">
      <c r="A376">
        <v>369</v>
      </c>
      <c r="B376">
        <v>61969</v>
      </c>
      <c r="C376" t="s">
        <v>1051</v>
      </c>
      <c r="D376" t="s">
        <v>29</v>
      </c>
      <c r="E376" t="s">
        <v>80</v>
      </c>
      <c r="F376" t="str">
        <f>"00025543"</f>
        <v>00025543</v>
      </c>
      <c r="G376">
        <v>18.03</v>
      </c>
      <c r="H376">
        <v>0</v>
      </c>
      <c r="I376">
        <v>0</v>
      </c>
      <c r="J376">
        <v>20</v>
      </c>
      <c r="K376">
        <v>20</v>
      </c>
      <c r="L376">
        <v>7</v>
      </c>
      <c r="N376">
        <v>3</v>
      </c>
      <c r="O376">
        <v>10</v>
      </c>
      <c r="P376">
        <v>4</v>
      </c>
      <c r="Q376">
        <v>0</v>
      </c>
      <c r="R376">
        <v>52.03</v>
      </c>
      <c r="S376">
        <v>0</v>
      </c>
      <c r="T376">
        <v>0</v>
      </c>
      <c r="U376">
        <v>0</v>
      </c>
      <c r="V376">
        <v>0</v>
      </c>
      <c r="W376" t="s">
        <v>14</v>
      </c>
      <c r="X376">
        <v>52.03</v>
      </c>
    </row>
    <row r="377" spans="1:24" ht="15">
      <c r="A377">
        <v>370</v>
      </c>
      <c r="B377">
        <v>107694</v>
      </c>
      <c r="C377" t="s">
        <v>1052</v>
      </c>
      <c r="D377" t="s">
        <v>1053</v>
      </c>
      <c r="E377" t="s">
        <v>20</v>
      </c>
      <c r="F377" t="str">
        <f>"00634710"</f>
        <v>00634710</v>
      </c>
      <c r="G377">
        <v>20</v>
      </c>
      <c r="H377">
        <v>0</v>
      </c>
      <c r="I377">
        <v>0</v>
      </c>
      <c r="J377">
        <v>20</v>
      </c>
      <c r="K377">
        <v>20</v>
      </c>
      <c r="O377">
        <v>0</v>
      </c>
      <c r="P377">
        <v>4</v>
      </c>
      <c r="Q377">
        <v>2</v>
      </c>
      <c r="R377">
        <v>46</v>
      </c>
      <c r="S377">
        <v>0</v>
      </c>
      <c r="T377">
        <v>0</v>
      </c>
      <c r="U377">
        <v>6</v>
      </c>
      <c r="V377">
        <v>0</v>
      </c>
      <c r="W377" t="s">
        <v>14</v>
      </c>
      <c r="X377">
        <v>52</v>
      </c>
    </row>
    <row r="378" spans="1:24" ht="15">
      <c r="A378">
        <v>371</v>
      </c>
      <c r="B378">
        <v>36331</v>
      </c>
      <c r="C378" t="s">
        <v>1054</v>
      </c>
      <c r="D378" t="s">
        <v>591</v>
      </c>
      <c r="E378" t="s">
        <v>151</v>
      </c>
      <c r="F378" t="str">
        <f>"200802005991"</f>
        <v>200802005991</v>
      </c>
      <c r="G378">
        <v>15</v>
      </c>
      <c r="H378">
        <v>0</v>
      </c>
      <c r="I378">
        <v>0</v>
      </c>
      <c r="J378">
        <v>28</v>
      </c>
      <c r="K378">
        <v>28</v>
      </c>
      <c r="N378">
        <v>3</v>
      </c>
      <c r="O378">
        <v>3</v>
      </c>
      <c r="P378">
        <v>4</v>
      </c>
      <c r="Q378">
        <v>2</v>
      </c>
      <c r="R378">
        <v>52</v>
      </c>
      <c r="S378">
        <v>0</v>
      </c>
      <c r="T378">
        <v>0</v>
      </c>
      <c r="U378">
        <v>0</v>
      </c>
      <c r="V378">
        <v>0</v>
      </c>
      <c r="W378" t="s">
        <v>14</v>
      </c>
      <c r="X378">
        <v>52</v>
      </c>
    </row>
    <row r="379" spans="1:24" ht="15">
      <c r="A379">
        <v>372</v>
      </c>
      <c r="B379">
        <v>16219</v>
      </c>
      <c r="C379" t="s">
        <v>1055</v>
      </c>
      <c r="D379" t="s">
        <v>88</v>
      </c>
      <c r="E379" t="s">
        <v>21</v>
      </c>
      <c r="F379" t="str">
        <f>"201410011977"</f>
        <v>201410011977</v>
      </c>
      <c r="G379">
        <v>16</v>
      </c>
      <c r="H379">
        <v>0</v>
      </c>
      <c r="I379">
        <v>0</v>
      </c>
      <c r="J379">
        <v>20</v>
      </c>
      <c r="K379">
        <v>20</v>
      </c>
      <c r="L379">
        <v>7</v>
      </c>
      <c r="O379">
        <v>7</v>
      </c>
      <c r="P379">
        <v>4</v>
      </c>
      <c r="Q379">
        <v>2</v>
      </c>
      <c r="R379">
        <v>49</v>
      </c>
      <c r="S379">
        <v>3</v>
      </c>
      <c r="T379">
        <v>3</v>
      </c>
      <c r="U379">
        <v>0</v>
      </c>
      <c r="V379">
        <v>0</v>
      </c>
      <c r="W379" t="s">
        <v>14</v>
      </c>
      <c r="X379">
        <v>52</v>
      </c>
    </row>
    <row r="380" spans="1:24" ht="15">
      <c r="A380">
        <v>373</v>
      </c>
      <c r="B380">
        <v>73753</v>
      </c>
      <c r="C380" t="s">
        <v>1056</v>
      </c>
      <c r="D380" t="s">
        <v>1057</v>
      </c>
      <c r="E380" t="s">
        <v>12</v>
      </c>
      <c r="F380" t="str">
        <f>"00634857"</f>
        <v>00634857</v>
      </c>
      <c r="G380">
        <v>16.98</v>
      </c>
      <c r="H380">
        <v>0</v>
      </c>
      <c r="I380">
        <v>0</v>
      </c>
      <c r="J380">
        <v>20</v>
      </c>
      <c r="K380">
        <v>20</v>
      </c>
      <c r="M380">
        <v>5</v>
      </c>
      <c r="N380">
        <v>3</v>
      </c>
      <c r="O380">
        <v>8</v>
      </c>
      <c r="P380">
        <v>4</v>
      </c>
      <c r="Q380">
        <v>0</v>
      </c>
      <c r="R380">
        <v>48.98</v>
      </c>
      <c r="S380">
        <v>0</v>
      </c>
      <c r="T380">
        <v>0</v>
      </c>
      <c r="U380">
        <v>3</v>
      </c>
      <c r="V380">
        <v>0</v>
      </c>
      <c r="W380" t="s">
        <v>14</v>
      </c>
      <c r="X380">
        <v>51.98</v>
      </c>
    </row>
    <row r="381" spans="1:24" ht="15">
      <c r="A381">
        <v>374</v>
      </c>
      <c r="B381">
        <v>102996</v>
      </c>
      <c r="C381" t="s">
        <v>1061</v>
      </c>
      <c r="D381" t="s">
        <v>296</v>
      </c>
      <c r="E381" t="s">
        <v>20</v>
      </c>
      <c r="F381" t="str">
        <f>"201504004522"</f>
        <v>201504004522</v>
      </c>
      <c r="G381">
        <v>19.9</v>
      </c>
      <c r="H381">
        <v>0</v>
      </c>
      <c r="I381">
        <v>0</v>
      </c>
      <c r="J381">
        <v>20</v>
      </c>
      <c r="K381">
        <v>20</v>
      </c>
      <c r="N381">
        <v>3</v>
      </c>
      <c r="O381">
        <v>3</v>
      </c>
      <c r="P381">
        <v>4</v>
      </c>
      <c r="Q381">
        <v>2</v>
      </c>
      <c r="R381">
        <v>48.9</v>
      </c>
      <c r="S381">
        <v>0</v>
      </c>
      <c r="T381">
        <v>0</v>
      </c>
      <c r="U381">
        <v>3</v>
      </c>
      <c r="V381">
        <v>0</v>
      </c>
      <c r="W381" t="s">
        <v>14</v>
      </c>
      <c r="X381">
        <v>51.9</v>
      </c>
    </row>
    <row r="382" spans="1:24" ht="15">
      <c r="A382">
        <v>375</v>
      </c>
      <c r="B382">
        <v>73509</v>
      </c>
      <c r="C382" t="s">
        <v>1063</v>
      </c>
      <c r="D382" t="s">
        <v>46</v>
      </c>
      <c r="E382" t="s">
        <v>215</v>
      </c>
      <c r="F382" t="str">
        <f>"00564235"</f>
        <v>00564235</v>
      </c>
      <c r="G382">
        <v>20.88</v>
      </c>
      <c r="H382">
        <v>0</v>
      </c>
      <c r="I382">
        <v>0</v>
      </c>
      <c r="J382">
        <v>20</v>
      </c>
      <c r="K382">
        <v>20</v>
      </c>
      <c r="L382">
        <v>7</v>
      </c>
      <c r="O382">
        <v>7</v>
      </c>
      <c r="P382">
        <v>4</v>
      </c>
      <c r="Q382">
        <v>0</v>
      </c>
      <c r="R382">
        <v>51.88</v>
      </c>
      <c r="S382">
        <v>0</v>
      </c>
      <c r="T382">
        <v>0</v>
      </c>
      <c r="U382">
        <v>0</v>
      </c>
      <c r="V382">
        <v>0</v>
      </c>
      <c r="W382" t="s">
        <v>14</v>
      </c>
      <c r="X382">
        <v>51.88</v>
      </c>
    </row>
    <row r="383" spans="1:24" ht="15">
      <c r="A383">
        <v>376</v>
      </c>
      <c r="B383">
        <v>65454</v>
      </c>
      <c r="C383" t="s">
        <v>1067</v>
      </c>
      <c r="D383" t="s">
        <v>1068</v>
      </c>
      <c r="E383" t="s">
        <v>21</v>
      </c>
      <c r="F383" t="str">
        <f>"00492687"</f>
        <v>00492687</v>
      </c>
      <c r="G383">
        <v>18.85</v>
      </c>
      <c r="H383">
        <v>0</v>
      </c>
      <c r="I383">
        <v>0</v>
      </c>
      <c r="J383">
        <v>20</v>
      </c>
      <c r="K383">
        <v>20</v>
      </c>
      <c r="L383">
        <v>7</v>
      </c>
      <c r="O383">
        <v>7</v>
      </c>
      <c r="P383">
        <v>4</v>
      </c>
      <c r="Q383">
        <v>2</v>
      </c>
      <c r="R383">
        <v>51.85</v>
      </c>
      <c r="S383">
        <v>0</v>
      </c>
      <c r="T383">
        <v>0</v>
      </c>
      <c r="U383">
        <v>0</v>
      </c>
      <c r="V383">
        <v>0</v>
      </c>
      <c r="W383" t="s">
        <v>14</v>
      </c>
      <c r="X383">
        <v>51.85</v>
      </c>
    </row>
    <row r="384" spans="1:24" ht="15">
      <c r="A384">
        <v>377</v>
      </c>
      <c r="B384">
        <v>52580</v>
      </c>
      <c r="C384" t="s">
        <v>1069</v>
      </c>
      <c r="D384" t="s">
        <v>591</v>
      </c>
      <c r="E384" t="s">
        <v>17</v>
      </c>
      <c r="F384" t="str">
        <f>"201504004200"</f>
        <v>201504004200</v>
      </c>
      <c r="G384">
        <v>17.85</v>
      </c>
      <c r="H384">
        <v>0</v>
      </c>
      <c r="I384">
        <v>0</v>
      </c>
      <c r="J384">
        <v>20</v>
      </c>
      <c r="K384">
        <v>20</v>
      </c>
      <c r="L384">
        <v>7</v>
      </c>
      <c r="N384">
        <v>3</v>
      </c>
      <c r="O384">
        <v>10</v>
      </c>
      <c r="P384">
        <v>4</v>
      </c>
      <c r="Q384">
        <v>0</v>
      </c>
      <c r="R384">
        <v>51.85</v>
      </c>
      <c r="S384">
        <v>0</v>
      </c>
      <c r="T384">
        <v>0</v>
      </c>
      <c r="U384">
        <v>0</v>
      </c>
      <c r="V384">
        <v>0</v>
      </c>
      <c r="W384" t="s">
        <v>14</v>
      </c>
      <c r="X384">
        <v>51.85</v>
      </c>
    </row>
    <row r="385" spans="1:24" ht="15">
      <c r="A385">
        <v>378</v>
      </c>
      <c r="B385">
        <v>19238</v>
      </c>
      <c r="C385" t="s">
        <v>1075</v>
      </c>
      <c r="D385" t="s">
        <v>12</v>
      </c>
      <c r="E385" t="s">
        <v>1076</v>
      </c>
      <c r="F385" t="str">
        <f>"201411001158"</f>
        <v>201411001158</v>
      </c>
      <c r="G385">
        <v>15.83</v>
      </c>
      <c r="H385">
        <v>0</v>
      </c>
      <c r="I385">
        <v>0</v>
      </c>
      <c r="J385">
        <v>20</v>
      </c>
      <c r="K385">
        <v>20</v>
      </c>
      <c r="L385">
        <v>7</v>
      </c>
      <c r="N385">
        <v>3</v>
      </c>
      <c r="O385">
        <v>10</v>
      </c>
      <c r="P385">
        <v>4</v>
      </c>
      <c r="Q385">
        <v>2</v>
      </c>
      <c r="R385">
        <v>51.83</v>
      </c>
      <c r="S385">
        <v>0</v>
      </c>
      <c r="T385">
        <v>0</v>
      </c>
      <c r="U385">
        <v>0</v>
      </c>
      <c r="V385">
        <v>0</v>
      </c>
      <c r="W385" t="s">
        <v>14</v>
      </c>
      <c r="X385">
        <v>51.83</v>
      </c>
    </row>
    <row r="386" spans="1:24" ht="15">
      <c r="A386">
        <v>379</v>
      </c>
      <c r="B386">
        <v>100129</v>
      </c>
      <c r="C386" t="s">
        <v>1088</v>
      </c>
      <c r="D386" t="s">
        <v>1089</v>
      </c>
      <c r="E386" t="s">
        <v>21</v>
      </c>
      <c r="F386" t="str">
        <f>"201409004128"</f>
        <v>201409004128</v>
      </c>
      <c r="G386">
        <v>18.5</v>
      </c>
      <c r="H386">
        <v>0</v>
      </c>
      <c r="I386">
        <v>0</v>
      </c>
      <c r="J386">
        <v>20</v>
      </c>
      <c r="K386">
        <v>20</v>
      </c>
      <c r="N386">
        <v>3</v>
      </c>
      <c r="O386">
        <v>3</v>
      </c>
      <c r="P386">
        <v>4</v>
      </c>
      <c r="Q386">
        <v>0</v>
      </c>
      <c r="R386">
        <v>45.5</v>
      </c>
      <c r="S386">
        <v>0</v>
      </c>
      <c r="T386">
        <v>0</v>
      </c>
      <c r="U386">
        <v>6</v>
      </c>
      <c r="V386">
        <v>0</v>
      </c>
      <c r="W386" t="s">
        <v>14</v>
      </c>
      <c r="X386">
        <v>51.5</v>
      </c>
    </row>
    <row r="387" spans="1:24" ht="15">
      <c r="A387">
        <v>380</v>
      </c>
      <c r="B387">
        <v>49658</v>
      </c>
      <c r="C387" t="s">
        <v>1090</v>
      </c>
      <c r="D387" t="s">
        <v>683</v>
      </c>
      <c r="E387" t="s">
        <v>21</v>
      </c>
      <c r="F387" t="str">
        <f>"00342537"</f>
        <v>00342537</v>
      </c>
      <c r="G387">
        <v>22.5</v>
      </c>
      <c r="H387">
        <v>0</v>
      </c>
      <c r="I387">
        <v>0</v>
      </c>
      <c r="J387">
        <v>20</v>
      </c>
      <c r="K387">
        <v>20</v>
      </c>
      <c r="N387">
        <v>3</v>
      </c>
      <c r="O387">
        <v>3</v>
      </c>
      <c r="P387">
        <v>4</v>
      </c>
      <c r="Q387">
        <v>2</v>
      </c>
      <c r="R387">
        <v>51.5</v>
      </c>
      <c r="S387">
        <v>0</v>
      </c>
      <c r="T387">
        <v>0</v>
      </c>
      <c r="U387">
        <v>0</v>
      </c>
      <c r="V387">
        <v>0</v>
      </c>
      <c r="W387" t="s">
        <v>14</v>
      </c>
      <c r="X387">
        <v>51.5</v>
      </c>
    </row>
    <row r="388" spans="1:24" ht="15">
      <c r="A388">
        <v>381</v>
      </c>
      <c r="B388">
        <v>77944</v>
      </c>
      <c r="C388" t="s">
        <v>1096</v>
      </c>
      <c r="D388" t="s">
        <v>1097</v>
      </c>
      <c r="E388" t="s">
        <v>27</v>
      </c>
      <c r="F388" t="str">
        <f>"00163070"</f>
        <v>00163070</v>
      </c>
      <c r="G388">
        <v>20.43</v>
      </c>
      <c r="H388">
        <v>0</v>
      </c>
      <c r="I388">
        <v>0</v>
      </c>
      <c r="J388">
        <v>20</v>
      </c>
      <c r="K388">
        <v>20</v>
      </c>
      <c r="L388">
        <v>7</v>
      </c>
      <c r="O388">
        <v>7</v>
      </c>
      <c r="P388">
        <v>4</v>
      </c>
      <c r="Q388">
        <v>0</v>
      </c>
      <c r="R388">
        <v>51.43</v>
      </c>
      <c r="S388">
        <v>0</v>
      </c>
      <c r="T388">
        <v>0</v>
      </c>
      <c r="U388">
        <v>0</v>
      </c>
      <c r="V388">
        <v>0</v>
      </c>
      <c r="W388" t="s">
        <v>14</v>
      </c>
      <c r="X388">
        <v>51.43</v>
      </c>
    </row>
    <row r="389" spans="1:24" ht="15">
      <c r="A389">
        <v>382</v>
      </c>
      <c r="B389">
        <v>107796</v>
      </c>
      <c r="C389" t="s">
        <v>1098</v>
      </c>
      <c r="D389" t="s">
        <v>29</v>
      </c>
      <c r="E389" t="s">
        <v>669</v>
      </c>
      <c r="F389" t="str">
        <f>"201504003651"</f>
        <v>201504003651</v>
      </c>
      <c r="G389">
        <v>17.43</v>
      </c>
      <c r="H389">
        <v>0</v>
      </c>
      <c r="I389">
        <v>0</v>
      </c>
      <c r="J389">
        <v>20</v>
      </c>
      <c r="K389">
        <v>20</v>
      </c>
      <c r="L389">
        <v>7</v>
      </c>
      <c r="N389">
        <v>3</v>
      </c>
      <c r="O389">
        <v>10</v>
      </c>
      <c r="P389">
        <v>4</v>
      </c>
      <c r="Q389">
        <v>0</v>
      </c>
      <c r="R389">
        <v>51.43</v>
      </c>
      <c r="S389">
        <v>0</v>
      </c>
      <c r="T389">
        <v>0</v>
      </c>
      <c r="U389">
        <v>0</v>
      </c>
      <c r="V389">
        <v>0</v>
      </c>
      <c r="W389" t="s">
        <v>14</v>
      </c>
      <c r="X389">
        <v>51.43</v>
      </c>
    </row>
    <row r="390" spans="1:24" ht="15">
      <c r="A390">
        <v>383</v>
      </c>
      <c r="B390">
        <v>86390</v>
      </c>
      <c r="C390" t="s">
        <v>1102</v>
      </c>
      <c r="D390" t="s">
        <v>29</v>
      </c>
      <c r="E390" t="s">
        <v>27</v>
      </c>
      <c r="F390" t="str">
        <f>"00037773"</f>
        <v>00037773</v>
      </c>
      <c r="G390">
        <v>19.35</v>
      </c>
      <c r="H390">
        <v>0</v>
      </c>
      <c r="I390">
        <v>0</v>
      </c>
      <c r="J390">
        <v>20</v>
      </c>
      <c r="K390">
        <v>20</v>
      </c>
      <c r="N390">
        <v>6</v>
      </c>
      <c r="O390">
        <v>6</v>
      </c>
      <c r="P390">
        <v>4</v>
      </c>
      <c r="Q390">
        <v>2</v>
      </c>
      <c r="R390">
        <v>51.35</v>
      </c>
      <c r="S390">
        <v>0</v>
      </c>
      <c r="T390">
        <v>0</v>
      </c>
      <c r="U390">
        <v>0</v>
      </c>
      <c r="V390">
        <v>0</v>
      </c>
      <c r="W390" t="s">
        <v>14</v>
      </c>
      <c r="X390">
        <v>51.35</v>
      </c>
    </row>
    <row r="391" spans="1:24" ht="15">
      <c r="A391">
        <v>384</v>
      </c>
      <c r="B391">
        <v>93314</v>
      </c>
      <c r="C391" t="s">
        <v>1108</v>
      </c>
      <c r="D391" t="s">
        <v>1068</v>
      </c>
      <c r="E391" t="s">
        <v>273</v>
      </c>
      <c r="F391" t="str">
        <f>"00219124"</f>
        <v>00219124</v>
      </c>
      <c r="G391">
        <v>21.25</v>
      </c>
      <c r="H391">
        <v>0</v>
      </c>
      <c r="I391">
        <v>0</v>
      </c>
      <c r="J391">
        <v>20</v>
      </c>
      <c r="K391">
        <v>20</v>
      </c>
      <c r="M391">
        <v>5</v>
      </c>
      <c r="O391">
        <v>5</v>
      </c>
      <c r="P391">
        <v>4</v>
      </c>
      <c r="Q391">
        <v>0</v>
      </c>
      <c r="R391">
        <v>50.25</v>
      </c>
      <c r="S391">
        <v>1</v>
      </c>
      <c r="T391">
        <v>1</v>
      </c>
      <c r="U391">
        <v>0</v>
      </c>
      <c r="V391">
        <v>0</v>
      </c>
      <c r="W391" t="s">
        <v>14</v>
      </c>
      <c r="X391">
        <v>51.25</v>
      </c>
    </row>
    <row r="392" spans="1:24" ht="15">
      <c r="A392">
        <v>385</v>
      </c>
      <c r="B392">
        <v>15530</v>
      </c>
      <c r="C392" t="s">
        <v>1109</v>
      </c>
      <c r="D392" t="s">
        <v>442</v>
      </c>
      <c r="E392" t="s">
        <v>23</v>
      </c>
      <c r="F392" t="str">
        <f>"00515303"</f>
        <v>00515303</v>
      </c>
      <c r="G392">
        <v>16.25</v>
      </c>
      <c r="H392">
        <v>7</v>
      </c>
      <c r="I392">
        <v>0</v>
      </c>
      <c r="J392">
        <v>20</v>
      </c>
      <c r="K392">
        <v>20</v>
      </c>
      <c r="O392">
        <v>0</v>
      </c>
      <c r="P392">
        <v>4</v>
      </c>
      <c r="Q392">
        <v>2</v>
      </c>
      <c r="R392">
        <v>49.25</v>
      </c>
      <c r="S392">
        <v>2</v>
      </c>
      <c r="T392">
        <v>2</v>
      </c>
      <c r="U392">
        <v>0</v>
      </c>
      <c r="V392">
        <v>0</v>
      </c>
      <c r="W392" t="s">
        <v>14</v>
      </c>
      <c r="X392">
        <v>51.25</v>
      </c>
    </row>
    <row r="393" spans="1:24" ht="15">
      <c r="A393">
        <v>386</v>
      </c>
      <c r="B393">
        <v>92509</v>
      </c>
      <c r="C393" t="s">
        <v>1113</v>
      </c>
      <c r="D393" t="s">
        <v>363</v>
      </c>
      <c r="E393" t="s">
        <v>12</v>
      </c>
      <c r="F393" t="str">
        <f>"00643105"</f>
        <v>00643105</v>
      </c>
      <c r="G393">
        <v>20.2</v>
      </c>
      <c r="H393">
        <v>0</v>
      </c>
      <c r="I393">
        <v>0</v>
      </c>
      <c r="J393">
        <v>28</v>
      </c>
      <c r="K393">
        <v>28</v>
      </c>
      <c r="N393">
        <v>3</v>
      </c>
      <c r="O393">
        <v>3</v>
      </c>
      <c r="P393">
        <v>0</v>
      </c>
      <c r="Q393">
        <v>0</v>
      </c>
      <c r="R393">
        <v>51.2</v>
      </c>
      <c r="S393">
        <v>0</v>
      </c>
      <c r="T393">
        <v>0</v>
      </c>
      <c r="U393">
        <v>0</v>
      </c>
      <c r="V393">
        <v>0</v>
      </c>
      <c r="W393" t="s">
        <v>14</v>
      </c>
      <c r="X393">
        <v>51.2</v>
      </c>
    </row>
    <row r="394" spans="1:24" ht="15">
      <c r="A394">
        <v>387</v>
      </c>
      <c r="B394">
        <v>52436</v>
      </c>
      <c r="C394" t="s">
        <v>1013</v>
      </c>
      <c r="D394" t="s">
        <v>29</v>
      </c>
      <c r="E394" t="s">
        <v>27</v>
      </c>
      <c r="F394" t="str">
        <f>"00511018"</f>
        <v>00511018</v>
      </c>
      <c r="G394">
        <v>21.1</v>
      </c>
      <c r="H394">
        <v>0</v>
      </c>
      <c r="I394">
        <v>0</v>
      </c>
      <c r="J394">
        <v>20</v>
      </c>
      <c r="K394">
        <v>20</v>
      </c>
      <c r="N394">
        <v>3</v>
      </c>
      <c r="O394">
        <v>3</v>
      </c>
      <c r="P394">
        <v>4</v>
      </c>
      <c r="Q394">
        <v>0</v>
      </c>
      <c r="R394">
        <v>48.1</v>
      </c>
      <c r="S394">
        <v>0</v>
      </c>
      <c r="T394">
        <v>0</v>
      </c>
      <c r="U394">
        <v>3</v>
      </c>
      <c r="V394">
        <v>0</v>
      </c>
      <c r="W394" t="s">
        <v>14</v>
      </c>
      <c r="X394">
        <v>51.1</v>
      </c>
    </row>
    <row r="395" spans="1:24" ht="15">
      <c r="A395">
        <v>388</v>
      </c>
      <c r="B395">
        <v>76629</v>
      </c>
      <c r="C395" t="s">
        <v>1118</v>
      </c>
      <c r="D395" t="s">
        <v>30</v>
      </c>
      <c r="E395" t="s">
        <v>1119</v>
      </c>
      <c r="F395" t="str">
        <f>"00036619"</f>
        <v>00036619</v>
      </c>
      <c r="G395">
        <v>17.1</v>
      </c>
      <c r="H395">
        <v>0</v>
      </c>
      <c r="I395">
        <v>0</v>
      </c>
      <c r="J395">
        <v>20</v>
      </c>
      <c r="K395">
        <v>20</v>
      </c>
      <c r="L395">
        <v>7</v>
      </c>
      <c r="O395">
        <v>7</v>
      </c>
      <c r="P395">
        <v>4</v>
      </c>
      <c r="Q395">
        <v>0</v>
      </c>
      <c r="R395">
        <v>48.1</v>
      </c>
      <c r="S395">
        <v>0</v>
      </c>
      <c r="T395">
        <v>0</v>
      </c>
      <c r="U395">
        <v>3</v>
      </c>
      <c r="V395">
        <v>0</v>
      </c>
      <c r="W395" t="s">
        <v>14</v>
      </c>
      <c r="X395">
        <v>51.1</v>
      </c>
    </row>
    <row r="396" spans="1:24" ht="15">
      <c r="A396">
        <v>389</v>
      </c>
      <c r="B396">
        <v>15870</v>
      </c>
      <c r="C396" t="s">
        <v>1126</v>
      </c>
      <c r="D396" t="s">
        <v>928</v>
      </c>
      <c r="E396" t="s">
        <v>27</v>
      </c>
      <c r="F396" t="str">
        <f>"201411001137"</f>
        <v>201411001137</v>
      </c>
      <c r="G396">
        <v>16.93</v>
      </c>
      <c r="H396">
        <v>0</v>
      </c>
      <c r="I396">
        <v>0</v>
      </c>
      <c r="J396">
        <v>20</v>
      </c>
      <c r="K396">
        <v>20</v>
      </c>
      <c r="L396">
        <v>7</v>
      </c>
      <c r="N396">
        <v>3</v>
      </c>
      <c r="O396">
        <v>10</v>
      </c>
      <c r="P396">
        <v>4</v>
      </c>
      <c r="Q396">
        <v>0</v>
      </c>
      <c r="R396">
        <v>50.93</v>
      </c>
      <c r="S396">
        <v>0</v>
      </c>
      <c r="T396">
        <v>0</v>
      </c>
      <c r="U396">
        <v>0</v>
      </c>
      <c r="V396">
        <v>0</v>
      </c>
      <c r="W396" t="s">
        <v>14</v>
      </c>
      <c r="X396">
        <v>50.93</v>
      </c>
    </row>
    <row r="397" spans="1:24" ht="15">
      <c r="A397">
        <v>390</v>
      </c>
      <c r="B397">
        <v>115944</v>
      </c>
      <c r="C397" t="s">
        <v>1127</v>
      </c>
      <c r="D397" t="s">
        <v>1128</v>
      </c>
      <c r="E397" t="s">
        <v>56</v>
      </c>
      <c r="F397" t="str">
        <f>"00642598"</f>
        <v>00642598</v>
      </c>
      <c r="G397">
        <v>17.88</v>
      </c>
      <c r="H397">
        <v>0</v>
      </c>
      <c r="I397">
        <v>0</v>
      </c>
      <c r="J397">
        <v>20</v>
      </c>
      <c r="K397">
        <v>20</v>
      </c>
      <c r="N397">
        <v>3</v>
      </c>
      <c r="O397">
        <v>3</v>
      </c>
      <c r="P397">
        <v>4</v>
      </c>
      <c r="Q397">
        <v>0</v>
      </c>
      <c r="R397">
        <v>44.88</v>
      </c>
      <c r="S397">
        <v>0</v>
      </c>
      <c r="T397">
        <v>0</v>
      </c>
      <c r="U397">
        <v>6</v>
      </c>
      <c r="V397">
        <v>0</v>
      </c>
      <c r="W397" t="s">
        <v>14</v>
      </c>
      <c r="X397">
        <v>50.88</v>
      </c>
    </row>
    <row r="398" spans="1:24" ht="15">
      <c r="A398">
        <v>391</v>
      </c>
      <c r="B398">
        <v>36862</v>
      </c>
      <c r="C398" t="s">
        <v>1133</v>
      </c>
      <c r="D398" t="s">
        <v>27</v>
      </c>
      <c r="E398" t="s">
        <v>120</v>
      </c>
      <c r="F398" t="str">
        <f>"00185436"</f>
        <v>00185436</v>
      </c>
      <c r="G398">
        <v>18.75</v>
      </c>
      <c r="H398">
        <v>0</v>
      </c>
      <c r="I398">
        <v>0</v>
      </c>
      <c r="J398">
        <v>20</v>
      </c>
      <c r="K398">
        <v>20</v>
      </c>
      <c r="N398">
        <v>6</v>
      </c>
      <c r="O398">
        <v>6</v>
      </c>
      <c r="P398">
        <v>4</v>
      </c>
      <c r="Q398">
        <v>2</v>
      </c>
      <c r="R398">
        <v>50.75</v>
      </c>
      <c r="S398">
        <v>0</v>
      </c>
      <c r="T398">
        <v>0</v>
      </c>
      <c r="U398">
        <v>0</v>
      </c>
      <c r="V398">
        <v>0</v>
      </c>
      <c r="W398" t="s">
        <v>14</v>
      </c>
      <c r="X398">
        <v>50.75</v>
      </c>
    </row>
    <row r="399" spans="1:24" ht="15">
      <c r="A399">
        <v>392</v>
      </c>
      <c r="B399">
        <v>48552</v>
      </c>
      <c r="C399" t="s">
        <v>468</v>
      </c>
      <c r="D399" t="s">
        <v>1135</v>
      </c>
      <c r="E399" t="s">
        <v>469</v>
      </c>
      <c r="F399" t="str">
        <f>"00466817"</f>
        <v>00466817</v>
      </c>
      <c r="G399">
        <v>18.73</v>
      </c>
      <c r="H399">
        <v>0</v>
      </c>
      <c r="I399">
        <v>0</v>
      </c>
      <c r="J399">
        <v>20</v>
      </c>
      <c r="K399">
        <v>20</v>
      </c>
      <c r="M399">
        <v>5</v>
      </c>
      <c r="N399">
        <v>3</v>
      </c>
      <c r="O399">
        <v>8</v>
      </c>
      <c r="P399">
        <v>4</v>
      </c>
      <c r="Q399">
        <v>0</v>
      </c>
      <c r="R399">
        <v>50.73</v>
      </c>
      <c r="S399">
        <v>0</v>
      </c>
      <c r="T399">
        <v>0</v>
      </c>
      <c r="U399">
        <v>0</v>
      </c>
      <c r="V399">
        <v>0</v>
      </c>
      <c r="W399" t="s">
        <v>14</v>
      </c>
      <c r="X399">
        <v>50.73</v>
      </c>
    </row>
    <row r="400" spans="1:24" ht="15">
      <c r="A400">
        <v>393</v>
      </c>
      <c r="B400">
        <v>16968</v>
      </c>
      <c r="C400" t="s">
        <v>1136</v>
      </c>
      <c r="D400" t="s">
        <v>347</v>
      </c>
      <c r="E400" t="s">
        <v>12</v>
      </c>
      <c r="F400" t="str">
        <f>"00361768"</f>
        <v>00361768</v>
      </c>
      <c r="G400">
        <v>17.7</v>
      </c>
      <c r="H400">
        <v>0</v>
      </c>
      <c r="I400">
        <v>0</v>
      </c>
      <c r="J400">
        <v>20</v>
      </c>
      <c r="K400">
        <v>20</v>
      </c>
      <c r="N400">
        <v>3</v>
      </c>
      <c r="O400">
        <v>3</v>
      </c>
      <c r="P400">
        <v>4</v>
      </c>
      <c r="Q400">
        <v>0</v>
      </c>
      <c r="R400">
        <v>44.7</v>
      </c>
      <c r="S400">
        <v>0</v>
      </c>
      <c r="T400">
        <v>0</v>
      </c>
      <c r="U400">
        <v>6</v>
      </c>
      <c r="V400">
        <v>0</v>
      </c>
      <c r="W400" t="s">
        <v>14</v>
      </c>
      <c r="X400">
        <v>50.7</v>
      </c>
    </row>
    <row r="401" spans="1:24" ht="15">
      <c r="A401">
        <v>394</v>
      </c>
      <c r="B401">
        <v>42638</v>
      </c>
      <c r="C401" t="s">
        <v>1139</v>
      </c>
      <c r="D401" t="s">
        <v>866</v>
      </c>
      <c r="E401" t="s">
        <v>17</v>
      </c>
      <c r="F401" t="str">
        <f>"200801005921"</f>
        <v>200801005921</v>
      </c>
      <c r="G401">
        <v>16.65</v>
      </c>
      <c r="H401">
        <v>0</v>
      </c>
      <c r="I401">
        <v>0</v>
      </c>
      <c r="J401">
        <v>20</v>
      </c>
      <c r="K401">
        <v>20</v>
      </c>
      <c r="L401">
        <v>7</v>
      </c>
      <c r="O401">
        <v>7</v>
      </c>
      <c r="P401">
        <v>4</v>
      </c>
      <c r="Q401">
        <v>0</v>
      </c>
      <c r="R401">
        <v>47.65</v>
      </c>
      <c r="S401">
        <v>0</v>
      </c>
      <c r="T401">
        <v>0</v>
      </c>
      <c r="U401">
        <v>3</v>
      </c>
      <c r="V401">
        <v>0</v>
      </c>
      <c r="W401" t="s">
        <v>14</v>
      </c>
      <c r="X401">
        <v>50.65</v>
      </c>
    </row>
    <row r="402" spans="1:24" ht="15">
      <c r="A402">
        <v>395</v>
      </c>
      <c r="B402">
        <v>27188</v>
      </c>
      <c r="C402" t="s">
        <v>1151</v>
      </c>
      <c r="D402" t="s">
        <v>461</v>
      </c>
      <c r="E402" t="s">
        <v>21</v>
      </c>
      <c r="F402" t="str">
        <f>"00150847"</f>
        <v>00150847</v>
      </c>
      <c r="G402">
        <v>17.43</v>
      </c>
      <c r="H402">
        <v>0</v>
      </c>
      <c r="I402">
        <v>0</v>
      </c>
      <c r="J402">
        <v>20</v>
      </c>
      <c r="K402">
        <v>20</v>
      </c>
      <c r="L402">
        <v>7</v>
      </c>
      <c r="O402">
        <v>7</v>
      </c>
      <c r="P402">
        <v>4</v>
      </c>
      <c r="Q402">
        <v>2</v>
      </c>
      <c r="R402">
        <v>50.43</v>
      </c>
      <c r="S402">
        <v>0</v>
      </c>
      <c r="T402">
        <v>0</v>
      </c>
      <c r="U402">
        <v>0</v>
      </c>
      <c r="V402">
        <v>0</v>
      </c>
      <c r="W402" t="s">
        <v>14</v>
      </c>
      <c r="X402">
        <v>50.43</v>
      </c>
    </row>
    <row r="403" spans="1:24" ht="15">
      <c r="A403">
        <v>396</v>
      </c>
      <c r="B403">
        <v>75214</v>
      </c>
      <c r="C403" t="s">
        <v>1160</v>
      </c>
      <c r="D403" t="s">
        <v>363</v>
      </c>
      <c r="E403" t="s">
        <v>240</v>
      </c>
      <c r="F403" t="str">
        <f>"00264771"</f>
        <v>00264771</v>
      </c>
      <c r="G403">
        <v>17.15</v>
      </c>
      <c r="H403">
        <v>0</v>
      </c>
      <c r="I403">
        <v>0</v>
      </c>
      <c r="J403">
        <v>20</v>
      </c>
      <c r="K403">
        <v>20</v>
      </c>
      <c r="L403">
        <v>7</v>
      </c>
      <c r="O403">
        <v>7</v>
      </c>
      <c r="P403">
        <v>4</v>
      </c>
      <c r="Q403">
        <v>2</v>
      </c>
      <c r="R403">
        <v>50.15</v>
      </c>
      <c r="S403">
        <v>0</v>
      </c>
      <c r="T403">
        <v>0</v>
      </c>
      <c r="U403">
        <v>0</v>
      </c>
      <c r="V403">
        <v>0</v>
      </c>
      <c r="W403" t="s">
        <v>14</v>
      </c>
      <c r="X403">
        <v>50.15</v>
      </c>
    </row>
    <row r="404" spans="1:24" ht="15">
      <c r="A404">
        <v>397</v>
      </c>
      <c r="B404">
        <v>68089</v>
      </c>
      <c r="C404" t="s">
        <v>1162</v>
      </c>
      <c r="D404" t="s">
        <v>97</v>
      </c>
      <c r="E404" t="s">
        <v>30</v>
      </c>
      <c r="F404" t="str">
        <f>"00192869"</f>
        <v>00192869</v>
      </c>
      <c r="G404">
        <v>16.15</v>
      </c>
      <c r="H404">
        <v>0</v>
      </c>
      <c r="I404">
        <v>0</v>
      </c>
      <c r="J404">
        <v>20</v>
      </c>
      <c r="K404">
        <v>20</v>
      </c>
      <c r="L404">
        <v>7</v>
      </c>
      <c r="N404">
        <v>3</v>
      </c>
      <c r="O404">
        <v>10</v>
      </c>
      <c r="P404">
        <v>4</v>
      </c>
      <c r="Q404">
        <v>0</v>
      </c>
      <c r="R404">
        <v>50.15</v>
      </c>
      <c r="S404">
        <v>0</v>
      </c>
      <c r="T404">
        <v>0</v>
      </c>
      <c r="U404">
        <v>0</v>
      </c>
      <c r="V404">
        <v>0</v>
      </c>
      <c r="W404" t="s">
        <v>14</v>
      </c>
      <c r="X404">
        <v>50.15</v>
      </c>
    </row>
    <row r="405" spans="1:24" ht="15">
      <c r="A405">
        <v>398</v>
      </c>
      <c r="B405">
        <v>81559</v>
      </c>
      <c r="C405" t="s">
        <v>1163</v>
      </c>
      <c r="D405" t="s">
        <v>17</v>
      </c>
      <c r="E405" t="s">
        <v>12</v>
      </c>
      <c r="F405" t="str">
        <f>"00630635"</f>
        <v>00630635</v>
      </c>
      <c r="G405">
        <v>16.08</v>
      </c>
      <c r="H405">
        <v>0</v>
      </c>
      <c r="I405">
        <v>0</v>
      </c>
      <c r="J405">
        <v>20</v>
      </c>
      <c r="K405">
        <v>20</v>
      </c>
      <c r="L405">
        <v>7</v>
      </c>
      <c r="O405">
        <v>7</v>
      </c>
      <c r="P405">
        <v>4</v>
      </c>
      <c r="Q405">
        <v>0</v>
      </c>
      <c r="R405">
        <v>47.08</v>
      </c>
      <c r="S405">
        <v>0</v>
      </c>
      <c r="T405">
        <v>0</v>
      </c>
      <c r="U405">
        <v>3</v>
      </c>
      <c r="V405">
        <v>0</v>
      </c>
      <c r="W405" t="s">
        <v>14</v>
      </c>
      <c r="X405">
        <v>50.08</v>
      </c>
    </row>
    <row r="406" spans="1:24" ht="15">
      <c r="A406">
        <v>399</v>
      </c>
      <c r="B406">
        <v>97514</v>
      </c>
      <c r="C406" t="s">
        <v>776</v>
      </c>
      <c r="D406" t="s">
        <v>253</v>
      </c>
      <c r="E406" t="s">
        <v>1171</v>
      </c>
      <c r="F406" t="str">
        <f>"00505308"</f>
        <v>00505308</v>
      </c>
      <c r="G406">
        <v>16.88</v>
      </c>
      <c r="H406">
        <v>0</v>
      </c>
      <c r="I406">
        <v>0</v>
      </c>
      <c r="J406">
        <v>20</v>
      </c>
      <c r="K406">
        <v>20</v>
      </c>
      <c r="L406">
        <v>7</v>
      </c>
      <c r="O406">
        <v>7</v>
      </c>
      <c r="P406">
        <v>4</v>
      </c>
      <c r="Q406">
        <v>2</v>
      </c>
      <c r="R406">
        <v>49.88</v>
      </c>
      <c r="S406">
        <v>0</v>
      </c>
      <c r="T406">
        <v>0</v>
      </c>
      <c r="U406">
        <v>0</v>
      </c>
      <c r="V406">
        <v>0</v>
      </c>
      <c r="W406" t="s">
        <v>14</v>
      </c>
      <c r="X406">
        <v>49.88</v>
      </c>
    </row>
    <row r="407" spans="1:24" ht="15">
      <c r="A407">
        <v>400</v>
      </c>
      <c r="B407">
        <v>62133</v>
      </c>
      <c r="C407" t="s">
        <v>1172</v>
      </c>
      <c r="D407" t="s">
        <v>50</v>
      </c>
      <c r="E407" t="s">
        <v>288</v>
      </c>
      <c r="F407" t="str">
        <f>"00008378"</f>
        <v>00008378</v>
      </c>
      <c r="G407">
        <v>18.83</v>
      </c>
      <c r="H407">
        <v>0</v>
      </c>
      <c r="I407">
        <v>0</v>
      </c>
      <c r="J407">
        <v>20</v>
      </c>
      <c r="K407">
        <v>20</v>
      </c>
      <c r="L407">
        <v>7</v>
      </c>
      <c r="O407">
        <v>7</v>
      </c>
      <c r="P407">
        <v>4</v>
      </c>
      <c r="Q407">
        <v>0</v>
      </c>
      <c r="R407">
        <v>49.83</v>
      </c>
      <c r="S407">
        <v>0</v>
      </c>
      <c r="T407">
        <v>0</v>
      </c>
      <c r="U407">
        <v>0</v>
      </c>
      <c r="V407">
        <v>0</v>
      </c>
      <c r="W407" t="s">
        <v>14</v>
      </c>
      <c r="X407">
        <v>49.83</v>
      </c>
    </row>
    <row r="408" spans="1:24" ht="15">
      <c r="A408">
        <v>401</v>
      </c>
      <c r="B408">
        <v>64076</v>
      </c>
      <c r="C408" t="s">
        <v>1175</v>
      </c>
      <c r="D408" t="s">
        <v>75</v>
      </c>
      <c r="E408" t="s">
        <v>17</v>
      </c>
      <c r="F408" t="str">
        <f>"00627238"</f>
        <v>00627238</v>
      </c>
      <c r="G408">
        <v>17.78</v>
      </c>
      <c r="H408">
        <v>0</v>
      </c>
      <c r="I408">
        <v>0</v>
      </c>
      <c r="J408">
        <v>20</v>
      </c>
      <c r="K408">
        <v>20</v>
      </c>
      <c r="N408">
        <v>6</v>
      </c>
      <c r="O408">
        <v>6</v>
      </c>
      <c r="P408">
        <v>4</v>
      </c>
      <c r="Q408">
        <v>2</v>
      </c>
      <c r="R408">
        <v>49.78</v>
      </c>
      <c r="S408">
        <v>0</v>
      </c>
      <c r="T408">
        <v>0</v>
      </c>
      <c r="U408">
        <v>0</v>
      </c>
      <c r="V408">
        <v>0</v>
      </c>
      <c r="W408" t="s">
        <v>14</v>
      </c>
      <c r="X408">
        <v>49.78</v>
      </c>
    </row>
    <row r="409" spans="1:24" ht="15">
      <c r="A409">
        <v>402</v>
      </c>
      <c r="B409">
        <v>109034</v>
      </c>
      <c r="C409" t="s">
        <v>1179</v>
      </c>
      <c r="D409" t="s">
        <v>41</v>
      </c>
      <c r="E409" t="s">
        <v>175</v>
      </c>
      <c r="F409" t="str">
        <f>"00304621"</f>
        <v>00304621</v>
      </c>
      <c r="G409">
        <v>18.68</v>
      </c>
      <c r="H409">
        <v>0</v>
      </c>
      <c r="I409">
        <v>0</v>
      </c>
      <c r="J409">
        <v>20</v>
      </c>
      <c r="K409">
        <v>20</v>
      </c>
      <c r="L409">
        <v>7</v>
      </c>
      <c r="O409">
        <v>7</v>
      </c>
      <c r="P409">
        <v>4</v>
      </c>
      <c r="Q409">
        <v>0</v>
      </c>
      <c r="R409">
        <v>49.68</v>
      </c>
      <c r="S409">
        <v>0</v>
      </c>
      <c r="T409">
        <v>0</v>
      </c>
      <c r="U409">
        <v>0</v>
      </c>
      <c r="V409">
        <v>0</v>
      </c>
      <c r="W409" t="s">
        <v>14</v>
      </c>
      <c r="X409">
        <v>49.68</v>
      </c>
    </row>
    <row r="410" spans="1:24" ht="15">
      <c r="A410">
        <v>403</v>
      </c>
      <c r="B410">
        <v>74438</v>
      </c>
      <c r="C410" t="s">
        <v>1180</v>
      </c>
      <c r="D410" t="s">
        <v>1181</v>
      </c>
      <c r="E410" t="s">
        <v>21</v>
      </c>
      <c r="F410" t="str">
        <f>"00033700"</f>
        <v>00033700</v>
      </c>
      <c r="G410">
        <v>16.63</v>
      </c>
      <c r="H410">
        <v>0</v>
      </c>
      <c r="I410">
        <v>0</v>
      </c>
      <c r="J410">
        <v>20</v>
      </c>
      <c r="K410">
        <v>20</v>
      </c>
      <c r="N410">
        <v>3</v>
      </c>
      <c r="O410">
        <v>3</v>
      </c>
      <c r="P410">
        <v>4</v>
      </c>
      <c r="Q410">
        <v>0</v>
      </c>
      <c r="R410">
        <v>43.63</v>
      </c>
      <c r="S410">
        <v>0</v>
      </c>
      <c r="T410">
        <v>0</v>
      </c>
      <c r="U410">
        <v>6</v>
      </c>
      <c r="V410">
        <v>0</v>
      </c>
      <c r="W410" t="s">
        <v>14</v>
      </c>
      <c r="X410">
        <v>49.63</v>
      </c>
    </row>
    <row r="411" spans="1:24" ht="15">
      <c r="A411">
        <v>404</v>
      </c>
      <c r="B411">
        <v>58733</v>
      </c>
      <c r="C411" t="s">
        <v>1182</v>
      </c>
      <c r="D411" t="s">
        <v>16</v>
      </c>
      <c r="E411" t="s">
        <v>1183</v>
      </c>
      <c r="F411" t="str">
        <f>"00610052"</f>
        <v>00610052</v>
      </c>
      <c r="G411">
        <v>16.63</v>
      </c>
      <c r="H411">
        <v>0</v>
      </c>
      <c r="I411">
        <v>0</v>
      </c>
      <c r="J411">
        <v>20</v>
      </c>
      <c r="K411">
        <v>20</v>
      </c>
      <c r="N411">
        <v>3</v>
      </c>
      <c r="O411">
        <v>3</v>
      </c>
      <c r="P411">
        <v>4</v>
      </c>
      <c r="Q411">
        <v>0</v>
      </c>
      <c r="R411">
        <v>43.63</v>
      </c>
      <c r="S411">
        <v>0</v>
      </c>
      <c r="T411">
        <v>0</v>
      </c>
      <c r="U411">
        <v>6</v>
      </c>
      <c r="V411">
        <v>0</v>
      </c>
      <c r="W411" t="s">
        <v>14</v>
      </c>
      <c r="X411">
        <v>49.63</v>
      </c>
    </row>
    <row r="412" spans="1:24" ht="15">
      <c r="A412">
        <v>405</v>
      </c>
      <c r="B412">
        <v>56656</v>
      </c>
      <c r="C412" t="s">
        <v>1187</v>
      </c>
      <c r="D412" t="s">
        <v>1188</v>
      </c>
      <c r="E412" t="s">
        <v>1189</v>
      </c>
      <c r="F412" t="str">
        <f>"00295915"</f>
        <v>00295915</v>
      </c>
      <c r="G412">
        <v>16.5</v>
      </c>
      <c r="H412">
        <v>0</v>
      </c>
      <c r="I412">
        <v>0</v>
      </c>
      <c r="J412">
        <v>20</v>
      </c>
      <c r="K412">
        <v>20</v>
      </c>
      <c r="L412">
        <v>7</v>
      </c>
      <c r="O412">
        <v>7</v>
      </c>
      <c r="P412">
        <v>4</v>
      </c>
      <c r="Q412">
        <v>2</v>
      </c>
      <c r="R412">
        <v>49.5</v>
      </c>
      <c r="S412">
        <v>0</v>
      </c>
      <c r="T412">
        <v>0</v>
      </c>
      <c r="U412">
        <v>0</v>
      </c>
      <c r="V412">
        <v>0</v>
      </c>
      <c r="W412" t="s">
        <v>14</v>
      </c>
      <c r="X412">
        <v>49.5</v>
      </c>
    </row>
    <row r="413" spans="1:24" ht="15">
      <c r="A413">
        <v>406</v>
      </c>
      <c r="B413">
        <v>95043</v>
      </c>
      <c r="C413" t="s">
        <v>1190</v>
      </c>
      <c r="D413" t="s">
        <v>29</v>
      </c>
      <c r="E413" t="s">
        <v>12</v>
      </c>
      <c r="F413" t="str">
        <f>"201406000971"</f>
        <v>201406000971</v>
      </c>
      <c r="G413">
        <v>15.5</v>
      </c>
      <c r="H413">
        <v>0</v>
      </c>
      <c r="I413">
        <v>0</v>
      </c>
      <c r="J413">
        <v>20</v>
      </c>
      <c r="K413">
        <v>20</v>
      </c>
      <c r="L413">
        <v>7</v>
      </c>
      <c r="N413">
        <v>3</v>
      </c>
      <c r="O413">
        <v>10</v>
      </c>
      <c r="P413">
        <v>4</v>
      </c>
      <c r="Q413">
        <v>0</v>
      </c>
      <c r="R413">
        <v>49.5</v>
      </c>
      <c r="S413">
        <v>0</v>
      </c>
      <c r="T413">
        <v>0</v>
      </c>
      <c r="U413">
        <v>0</v>
      </c>
      <c r="V413">
        <v>0</v>
      </c>
      <c r="W413" t="s">
        <v>14</v>
      </c>
      <c r="X413">
        <v>49.5</v>
      </c>
    </row>
    <row r="414" spans="1:24" ht="15">
      <c r="A414">
        <v>407</v>
      </c>
      <c r="B414">
        <v>113749</v>
      </c>
      <c r="C414" t="s">
        <v>1199</v>
      </c>
      <c r="D414" t="s">
        <v>21</v>
      </c>
      <c r="E414" t="s">
        <v>27</v>
      </c>
      <c r="F414" t="str">
        <f>"00539068"</f>
        <v>00539068</v>
      </c>
      <c r="G414">
        <v>16.3</v>
      </c>
      <c r="H414">
        <v>7</v>
      </c>
      <c r="I414">
        <v>0</v>
      </c>
      <c r="J414">
        <v>20</v>
      </c>
      <c r="K414">
        <v>20</v>
      </c>
      <c r="O414">
        <v>0</v>
      </c>
      <c r="P414">
        <v>4</v>
      </c>
      <c r="Q414">
        <v>2</v>
      </c>
      <c r="R414">
        <v>49.3</v>
      </c>
      <c r="S414">
        <v>0</v>
      </c>
      <c r="T414">
        <v>0</v>
      </c>
      <c r="U414">
        <v>0</v>
      </c>
      <c r="V414">
        <v>0</v>
      </c>
      <c r="W414" t="s">
        <v>14</v>
      </c>
      <c r="X414">
        <v>49.3</v>
      </c>
    </row>
    <row r="415" spans="1:24" ht="15">
      <c r="A415">
        <v>408</v>
      </c>
      <c r="B415">
        <v>24091</v>
      </c>
      <c r="C415" t="s">
        <v>1200</v>
      </c>
      <c r="D415" t="s">
        <v>88</v>
      </c>
      <c r="E415" t="s">
        <v>139</v>
      </c>
      <c r="F415" t="str">
        <f>"201504000870"</f>
        <v>201504000870</v>
      </c>
      <c r="G415">
        <v>18.28</v>
      </c>
      <c r="H415">
        <v>0</v>
      </c>
      <c r="I415">
        <v>0</v>
      </c>
      <c r="J415">
        <v>20</v>
      </c>
      <c r="K415">
        <v>20</v>
      </c>
      <c r="L415">
        <v>7</v>
      </c>
      <c r="O415">
        <v>7</v>
      </c>
      <c r="P415">
        <v>4</v>
      </c>
      <c r="Q415">
        <v>0</v>
      </c>
      <c r="R415">
        <v>49.28</v>
      </c>
      <c r="S415">
        <v>0</v>
      </c>
      <c r="T415">
        <v>0</v>
      </c>
      <c r="U415">
        <v>0</v>
      </c>
      <c r="V415">
        <v>0</v>
      </c>
      <c r="W415" t="s">
        <v>14</v>
      </c>
      <c r="X415">
        <v>49.28</v>
      </c>
    </row>
    <row r="416" spans="1:24" ht="15">
      <c r="A416">
        <v>409</v>
      </c>
      <c r="B416">
        <v>98163</v>
      </c>
      <c r="C416" t="s">
        <v>1203</v>
      </c>
      <c r="D416" t="s">
        <v>236</v>
      </c>
      <c r="E416" t="s">
        <v>139</v>
      </c>
      <c r="F416" t="str">
        <f>"00320851"</f>
        <v>00320851</v>
      </c>
      <c r="G416">
        <v>16.25</v>
      </c>
      <c r="H416">
        <v>0</v>
      </c>
      <c r="I416">
        <v>0</v>
      </c>
      <c r="J416">
        <v>20</v>
      </c>
      <c r="K416">
        <v>20</v>
      </c>
      <c r="L416">
        <v>7</v>
      </c>
      <c r="O416">
        <v>7</v>
      </c>
      <c r="P416">
        <v>4</v>
      </c>
      <c r="Q416">
        <v>2</v>
      </c>
      <c r="R416">
        <v>49.25</v>
      </c>
      <c r="S416">
        <v>0</v>
      </c>
      <c r="T416">
        <v>0</v>
      </c>
      <c r="U416">
        <v>0</v>
      </c>
      <c r="V416">
        <v>0</v>
      </c>
      <c r="W416" t="s">
        <v>14</v>
      </c>
      <c r="X416">
        <v>49.25</v>
      </c>
    </row>
    <row r="417" spans="1:24" ht="15">
      <c r="A417">
        <v>410</v>
      </c>
      <c r="B417">
        <v>11578</v>
      </c>
      <c r="C417" t="s">
        <v>1205</v>
      </c>
      <c r="D417" t="s">
        <v>12</v>
      </c>
      <c r="E417" t="s">
        <v>27</v>
      </c>
      <c r="F417" t="str">
        <f>"00529830"</f>
        <v>00529830</v>
      </c>
      <c r="G417">
        <v>18.23</v>
      </c>
      <c r="H417">
        <v>0</v>
      </c>
      <c r="I417">
        <v>0</v>
      </c>
      <c r="J417">
        <v>20</v>
      </c>
      <c r="K417">
        <v>20</v>
      </c>
      <c r="L417">
        <v>7</v>
      </c>
      <c r="O417">
        <v>7</v>
      </c>
      <c r="P417">
        <v>4</v>
      </c>
      <c r="Q417">
        <v>0</v>
      </c>
      <c r="R417">
        <v>49.23</v>
      </c>
      <c r="S417">
        <v>0</v>
      </c>
      <c r="T417">
        <v>0</v>
      </c>
      <c r="U417">
        <v>0</v>
      </c>
      <c r="V417">
        <v>0</v>
      </c>
      <c r="W417" t="s">
        <v>14</v>
      </c>
      <c r="X417">
        <v>49.23</v>
      </c>
    </row>
    <row r="418" spans="1:24" ht="15">
      <c r="A418">
        <v>411</v>
      </c>
      <c r="B418">
        <v>21828</v>
      </c>
      <c r="C418" t="s">
        <v>1206</v>
      </c>
      <c r="D418" t="s">
        <v>17</v>
      </c>
      <c r="E418" t="s">
        <v>273</v>
      </c>
      <c r="F418" t="str">
        <f>"00428035"</f>
        <v>00428035</v>
      </c>
      <c r="G418">
        <v>19.2</v>
      </c>
      <c r="H418">
        <v>0</v>
      </c>
      <c r="I418">
        <v>0</v>
      </c>
      <c r="J418">
        <v>20</v>
      </c>
      <c r="K418">
        <v>20</v>
      </c>
      <c r="N418">
        <v>3</v>
      </c>
      <c r="O418">
        <v>3</v>
      </c>
      <c r="P418">
        <v>4</v>
      </c>
      <c r="Q418">
        <v>0</v>
      </c>
      <c r="R418">
        <v>46.2</v>
      </c>
      <c r="S418">
        <v>0</v>
      </c>
      <c r="T418">
        <v>0</v>
      </c>
      <c r="U418">
        <v>3</v>
      </c>
      <c r="V418">
        <v>0</v>
      </c>
      <c r="W418" t="s">
        <v>14</v>
      </c>
      <c r="X418">
        <v>49.2</v>
      </c>
    </row>
    <row r="419" spans="1:24" ht="15">
      <c r="A419">
        <v>412</v>
      </c>
      <c r="B419">
        <v>39681</v>
      </c>
      <c r="C419" t="s">
        <v>1208</v>
      </c>
      <c r="D419" t="s">
        <v>37</v>
      </c>
      <c r="E419" t="s">
        <v>30</v>
      </c>
      <c r="F419" t="str">
        <f>"201504004803"</f>
        <v>201504004803</v>
      </c>
      <c r="G419">
        <v>18.18</v>
      </c>
      <c r="H419">
        <v>0</v>
      </c>
      <c r="I419">
        <v>0</v>
      </c>
      <c r="J419">
        <v>20</v>
      </c>
      <c r="K419">
        <v>20</v>
      </c>
      <c r="L419">
        <v>7</v>
      </c>
      <c r="O419">
        <v>7</v>
      </c>
      <c r="P419">
        <v>4</v>
      </c>
      <c r="Q419">
        <v>0</v>
      </c>
      <c r="R419">
        <v>49.18</v>
      </c>
      <c r="S419">
        <v>0</v>
      </c>
      <c r="T419">
        <v>0</v>
      </c>
      <c r="U419">
        <v>0</v>
      </c>
      <c r="V419">
        <v>0</v>
      </c>
      <c r="W419" t="s">
        <v>14</v>
      </c>
      <c r="X419">
        <v>49.18</v>
      </c>
    </row>
    <row r="420" spans="1:24" ht="15">
      <c r="A420">
        <v>413</v>
      </c>
      <c r="B420">
        <v>63071</v>
      </c>
      <c r="C420" t="s">
        <v>1209</v>
      </c>
      <c r="D420" t="s">
        <v>370</v>
      </c>
      <c r="E420" t="s">
        <v>30</v>
      </c>
      <c r="F420" t="str">
        <f>"00228980"</f>
        <v>00228980</v>
      </c>
      <c r="G420">
        <v>16.15</v>
      </c>
      <c r="H420">
        <v>0</v>
      </c>
      <c r="I420">
        <v>0</v>
      </c>
      <c r="J420">
        <v>0</v>
      </c>
      <c r="K420">
        <v>0</v>
      </c>
      <c r="L420">
        <v>7</v>
      </c>
      <c r="N420">
        <v>3</v>
      </c>
      <c r="O420">
        <v>10</v>
      </c>
      <c r="P420">
        <v>4</v>
      </c>
      <c r="Q420">
        <v>2</v>
      </c>
      <c r="R420">
        <v>32.15</v>
      </c>
      <c r="S420">
        <v>8</v>
      </c>
      <c r="T420">
        <v>8</v>
      </c>
      <c r="U420">
        <v>9</v>
      </c>
      <c r="V420">
        <v>0</v>
      </c>
      <c r="W420" t="s">
        <v>14</v>
      </c>
      <c r="X420">
        <v>49.15</v>
      </c>
    </row>
    <row r="421" spans="1:24" ht="15">
      <c r="A421">
        <v>414</v>
      </c>
      <c r="B421">
        <v>77455</v>
      </c>
      <c r="C421" t="s">
        <v>1212</v>
      </c>
      <c r="D421" t="s">
        <v>75</v>
      </c>
      <c r="E421" t="s">
        <v>53</v>
      </c>
      <c r="F421" t="str">
        <f>"00207399"</f>
        <v>00207399</v>
      </c>
      <c r="G421">
        <v>18.13</v>
      </c>
      <c r="H421">
        <v>0</v>
      </c>
      <c r="I421">
        <v>0</v>
      </c>
      <c r="J421">
        <v>20</v>
      </c>
      <c r="K421">
        <v>20</v>
      </c>
      <c r="L421">
        <v>7</v>
      </c>
      <c r="O421">
        <v>7</v>
      </c>
      <c r="P421">
        <v>4</v>
      </c>
      <c r="Q421">
        <v>0</v>
      </c>
      <c r="R421">
        <v>49.13</v>
      </c>
      <c r="S421">
        <v>0</v>
      </c>
      <c r="T421">
        <v>0</v>
      </c>
      <c r="U421">
        <v>0</v>
      </c>
      <c r="V421">
        <v>0</v>
      </c>
      <c r="W421" t="s">
        <v>14</v>
      </c>
      <c r="X421">
        <v>49.13</v>
      </c>
    </row>
    <row r="422" spans="1:24" ht="15">
      <c r="A422">
        <v>415</v>
      </c>
      <c r="B422">
        <v>104808</v>
      </c>
      <c r="C422" t="s">
        <v>1213</v>
      </c>
      <c r="D422" t="s">
        <v>16</v>
      </c>
      <c r="E422" t="s">
        <v>83</v>
      </c>
      <c r="F422" t="str">
        <f>"201406013293"</f>
        <v>201406013293</v>
      </c>
      <c r="G422">
        <v>18.1</v>
      </c>
      <c r="H422">
        <v>0</v>
      </c>
      <c r="I422">
        <v>0</v>
      </c>
      <c r="J422">
        <v>20</v>
      </c>
      <c r="K422">
        <v>20</v>
      </c>
      <c r="M422">
        <v>5</v>
      </c>
      <c r="O422">
        <v>5</v>
      </c>
      <c r="P422">
        <v>4</v>
      </c>
      <c r="Q422">
        <v>2</v>
      </c>
      <c r="R422">
        <v>49.1</v>
      </c>
      <c r="S422">
        <v>0</v>
      </c>
      <c r="T422">
        <v>0</v>
      </c>
      <c r="U422">
        <v>0</v>
      </c>
      <c r="V422">
        <v>0</v>
      </c>
      <c r="W422" t="s">
        <v>14</v>
      </c>
      <c r="X422">
        <v>49.1</v>
      </c>
    </row>
    <row r="423" spans="1:24" ht="15">
      <c r="A423">
        <v>416</v>
      </c>
      <c r="B423">
        <v>10535</v>
      </c>
      <c r="C423" t="s">
        <v>1219</v>
      </c>
      <c r="D423" t="s">
        <v>90</v>
      </c>
      <c r="E423" t="s">
        <v>135</v>
      </c>
      <c r="F423" t="str">
        <f>"00018192"</f>
        <v>00018192</v>
      </c>
      <c r="G423">
        <v>20</v>
      </c>
      <c r="H423">
        <v>0</v>
      </c>
      <c r="I423">
        <v>0</v>
      </c>
      <c r="J423">
        <v>20</v>
      </c>
      <c r="K423">
        <v>20</v>
      </c>
      <c r="N423">
        <v>3</v>
      </c>
      <c r="O423">
        <v>3</v>
      </c>
      <c r="P423">
        <v>4</v>
      </c>
      <c r="Q423">
        <v>2</v>
      </c>
      <c r="R423">
        <v>49</v>
      </c>
      <c r="S423">
        <v>0</v>
      </c>
      <c r="T423">
        <v>0</v>
      </c>
      <c r="U423">
        <v>0</v>
      </c>
      <c r="V423">
        <v>0</v>
      </c>
      <c r="W423" t="s">
        <v>14</v>
      </c>
      <c r="X423">
        <v>49</v>
      </c>
    </row>
    <row r="424" spans="1:24" ht="15">
      <c r="A424">
        <v>417</v>
      </c>
      <c r="B424">
        <v>50030</v>
      </c>
      <c r="C424" t="s">
        <v>1221</v>
      </c>
      <c r="D424" t="s">
        <v>27</v>
      </c>
      <c r="E424" t="s">
        <v>80</v>
      </c>
      <c r="F424" t="str">
        <f>"00019800"</f>
        <v>00019800</v>
      </c>
      <c r="G424">
        <v>16.88</v>
      </c>
      <c r="H424">
        <v>0</v>
      </c>
      <c r="I424">
        <v>0</v>
      </c>
      <c r="J424">
        <v>20</v>
      </c>
      <c r="K424">
        <v>20</v>
      </c>
      <c r="N424">
        <v>3</v>
      </c>
      <c r="O424">
        <v>3</v>
      </c>
      <c r="P424">
        <v>4</v>
      </c>
      <c r="Q424">
        <v>2</v>
      </c>
      <c r="R424">
        <v>45.88</v>
      </c>
      <c r="S424">
        <v>0</v>
      </c>
      <c r="T424">
        <v>0</v>
      </c>
      <c r="U424">
        <v>3</v>
      </c>
      <c r="V424">
        <v>0</v>
      </c>
      <c r="W424" t="s">
        <v>14</v>
      </c>
      <c r="X424">
        <v>48.88</v>
      </c>
    </row>
    <row r="425" spans="1:24" ht="15">
      <c r="A425">
        <v>418</v>
      </c>
      <c r="B425">
        <v>8660</v>
      </c>
      <c r="C425" t="s">
        <v>1231</v>
      </c>
      <c r="D425" t="s">
        <v>591</v>
      </c>
      <c r="E425" t="s">
        <v>113</v>
      </c>
      <c r="F425" t="str">
        <f>"00333035"</f>
        <v>00333035</v>
      </c>
      <c r="G425">
        <v>17.65</v>
      </c>
      <c r="H425">
        <v>0</v>
      </c>
      <c r="I425">
        <v>0</v>
      </c>
      <c r="J425">
        <v>20</v>
      </c>
      <c r="K425">
        <v>20</v>
      </c>
      <c r="L425">
        <v>7</v>
      </c>
      <c r="O425">
        <v>7</v>
      </c>
      <c r="P425">
        <v>4</v>
      </c>
      <c r="Q425">
        <v>0</v>
      </c>
      <c r="R425">
        <v>48.65</v>
      </c>
      <c r="S425">
        <v>0</v>
      </c>
      <c r="T425">
        <v>0</v>
      </c>
      <c r="U425">
        <v>0</v>
      </c>
      <c r="V425">
        <v>0</v>
      </c>
      <c r="W425" t="s">
        <v>14</v>
      </c>
      <c r="X425">
        <v>48.65</v>
      </c>
    </row>
    <row r="426" spans="1:24" ht="15">
      <c r="A426">
        <v>419</v>
      </c>
      <c r="B426">
        <v>85656</v>
      </c>
      <c r="C426" t="s">
        <v>1232</v>
      </c>
      <c r="D426" t="s">
        <v>1233</v>
      </c>
      <c r="E426" t="s">
        <v>12</v>
      </c>
      <c r="F426" t="str">
        <f>"00623735"</f>
        <v>00623735</v>
      </c>
      <c r="G426">
        <v>17.65</v>
      </c>
      <c r="H426">
        <v>0</v>
      </c>
      <c r="I426">
        <v>0</v>
      </c>
      <c r="J426">
        <v>20</v>
      </c>
      <c r="K426">
        <v>20</v>
      </c>
      <c r="L426">
        <v>7</v>
      </c>
      <c r="O426">
        <v>7</v>
      </c>
      <c r="P426">
        <v>4</v>
      </c>
      <c r="Q426">
        <v>0</v>
      </c>
      <c r="R426">
        <v>48.65</v>
      </c>
      <c r="S426">
        <v>0</v>
      </c>
      <c r="T426">
        <v>0</v>
      </c>
      <c r="U426">
        <v>0</v>
      </c>
      <c r="V426">
        <v>0</v>
      </c>
      <c r="W426" t="s">
        <v>14</v>
      </c>
      <c r="X426">
        <v>48.65</v>
      </c>
    </row>
    <row r="427" spans="1:24" ht="15">
      <c r="A427">
        <v>420</v>
      </c>
      <c r="B427">
        <v>71957</v>
      </c>
      <c r="C427" t="s">
        <v>1211</v>
      </c>
      <c r="D427" t="s">
        <v>44</v>
      </c>
      <c r="E427" t="s">
        <v>486</v>
      </c>
      <c r="F427" t="str">
        <f>"00017547"</f>
        <v>00017547</v>
      </c>
      <c r="G427">
        <v>18.6</v>
      </c>
      <c r="H427">
        <v>0</v>
      </c>
      <c r="I427">
        <v>0</v>
      </c>
      <c r="J427">
        <v>20</v>
      </c>
      <c r="K427">
        <v>20</v>
      </c>
      <c r="N427">
        <v>3</v>
      </c>
      <c r="O427">
        <v>3</v>
      </c>
      <c r="P427">
        <v>4</v>
      </c>
      <c r="Q427">
        <v>0</v>
      </c>
      <c r="R427">
        <v>45.6</v>
      </c>
      <c r="S427">
        <v>0</v>
      </c>
      <c r="T427">
        <v>0</v>
      </c>
      <c r="U427">
        <v>3</v>
      </c>
      <c r="V427">
        <v>0</v>
      </c>
      <c r="W427" t="s">
        <v>14</v>
      </c>
      <c r="X427">
        <v>48.6</v>
      </c>
    </row>
    <row r="428" spans="1:24" ht="15">
      <c r="A428">
        <v>421</v>
      </c>
      <c r="B428">
        <v>85489</v>
      </c>
      <c r="C428" t="s">
        <v>1236</v>
      </c>
      <c r="D428" t="s">
        <v>88</v>
      </c>
      <c r="E428" t="s">
        <v>1237</v>
      </c>
      <c r="F428" t="str">
        <f>"00152830"</f>
        <v>00152830</v>
      </c>
      <c r="G428">
        <v>19.58</v>
      </c>
      <c r="H428">
        <v>0</v>
      </c>
      <c r="I428">
        <v>0</v>
      </c>
      <c r="J428">
        <v>20</v>
      </c>
      <c r="K428">
        <v>20</v>
      </c>
      <c r="O428">
        <v>0</v>
      </c>
      <c r="P428">
        <v>4</v>
      </c>
      <c r="Q428">
        <v>0</v>
      </c>
      <c r="R428">
        <v>43.58</v>
      </c>
      <c r="S428">
        <v>2</v>
      </c>
      <c r="T428">
        <v>2</v>
      </c>
      <c r="U428">
        <v>3</v>
      </c>
      <c r="V428">
        <v>0</v>
      </c>
      <c r="W428" t="s">
        <v>14</v>
      </c>
      <c r="X428">
        <v>48.58</v>
      </c>
    </row>
    <row r="429" spans="1:24" ht="15">
      <c r="A429">
        <v>422</v>
      </c>
      <c r="B429">
        <v>11771</v>
      </c>
      <c r="C429" t="s">
        <v>1238</v>
      </c>
      <c r="D429" t="s">
        <v>30</v>
      </c>
      <c r="E429" t="s">
        <v>135</v>
      </c>
      <c r="F429" t="str">
        <f>"00018504"</f>
        <v>00018504</v>
      </c>
      <c r="G429">
        <v>16.55</v>
      </c>
      <c r="H429">
        <v>0</v>
      </c>
      <c r="I429">
        <v>0</v>
      </c>
      <c r="J429">
        <v>20</v>
      </c>
      <c r="K429">
        <v>20</v>
      </c>
      <c r="M429">
        <v>5</v>
      </c>
      <c r="N429">
        <v>3</v>
      </c>
      <c r="O429">
        <v>8</v>
      </c>
      <c r="P429">
        <v>4</v>
      </c>
      <c r="Q429">
        <v>0</v>
      </c>
      <c r="R429">
        <v>48.55</v>
      </c>
      <c r="S429">
        <v>0</v>
      </c>
      <c r="T429">
        <v>0</v>
      </c>
      <c r="U429">
        <v>0</v>
      </c>
      <c r="V429">
        <v>0</v>
      </c>
      <c r="W429" t="s">
        <v>14</v>
      </c>
      <c r="X429">
        <v>48.55</v>
      </c>
    </row>
    <row r="430" spans="1:24" ht="15">
      <c r="A430">
        <v>423</v>
      </c>
      <c r="B430">
        <v>16663</v>
      </c>
      <c r="C430" t="s">
        <v>1242</v>
      </c>
      <c r="D430" t="s">
        <v>1243</v>
      </c>
      <c r="E430" t="s">
        <v>17</v>
      </c>
      <c r="F430" t="str">
        <f>"201511039951"</f>
        <v>201511039951</v>
      </c>
      <c r="G430">
        <v>16.5</v>
      </c>
      <c r="H430">
        <v>0</v>
      </c>
      <c r="I430">
        <v>0</v>
      </c>
      <c r="J430">
        <v>20</v>
      </c>
      <c r="K430">
        <v>20</v>
      </c>
      <c r="N430">
        <v>3</v>
      </c>
      <c r="O430">
        <v>3</v>
      </c>
      <c r="P430">
        <v>4</v>
      </c>
      <c r="Q430">
        <v>2</v>
      </c>
      <c r="R430">
        <v>45.5</v>
      </c>
      <c r="S430">
        <v>0</v>
      </c>
      <c r="T430">
        <v>0</v>
      </c>
      <c r="U430">
        <v>3</v>
      </c>
      <c r="V430">
        <v>0</v>
      </c>
      <c r="W430" t="s">
        <v>14</v>
      </c>
      <c r="X430">
        <v>48.5</v>
      </c>
    </row>
    <row r="431" spans="1:24" ht="15">
      <c r="A431">
        <v>424</v>
      </c>
      <c r="B431">
        <v>98006</v>
      </c>
      <c r="C431" t="s">
        <v>1246</v>
      </c>
      <c r="D431" t="s">
        <v>21</v>
      </c>
      <c r="E431" t="s">
        <v>1247</v>
      </c>
      <c r="F431" t="str">
        <f>"200907000460"</f>
        <v>200907000460</v>
      </c>
      <c r="G431">
        <v>17.43</v>
      </c>
      <c r="H431">
        <v>0</v>
      </c>
      <c r="I431">
        <v>0</v>
      </c>
      <c r="J431">
        <v>20</v>
      </c>
      <c r="K431">
        <v>20</v>
      </c>
      <c r="L431">
        <v>7</v>
      </c>
      <c r="O431">
        <v>7</v>
      </c>
      <c r="P431">
        <v>4</v>
      </c>
      <c r="Q431">
        <v>0</v>
      </c>
      <c r="R431">
        <v>48.43</v>
      </c>
      <c r="S431">
        <v>0</v>
      </c>
      <c r="T431">
        <v>0</v>
      </c>
      <c r="U431">
        <v>0</v>
      </c>
      <c r="V431">
        <v>0</v>
      </c>
      <c r="W431" t="s">
        <v>14</v>
      </c>
      <c r="X431">
        <v>48.43</v>
      </c>
    </row>
    <row r="432" spans="1:24" ht="15">
      <c r="A432">
        <v>425</v>
      </c>
      <c r="B432">
        <v>4502</v>
      </c>
      <c r="C432" t="s">
        <v>1248</v>
      </c>
      <c r="D432" t="s">
        <v>407</v>
      </c>
      <c r="E432" t="s">
        <v>23</v>
      </c>
      <c r="F432" t="str">
        <f>"00357838"</f>
        <v>00357838</v>
      </c>
      <c r="G432">
        <v>18.38</v>
      </c>
      <c r="H432">
        <v>0</v>
      </c>
      <c r="I432">
        <v>0</v>
      </c>
      <c r="J432">
        <v>20</v>
      </c>
      <c r="K432">
        <v>20</v>
      </c>
      <c r="N432">
        <v>6</v>
      </c>
      <c r="O432">
        <v>6</v>
      </c>
      <c r="P432">
        <v>4</v>
      </c>
      <c r="Q432">
        <v>0</v>
      </c>
      <c r="R432">
        <v>48.38</v>
      </c>
      <c r="S432">
        <v>0</v>
      </c>
      <c r="T432">
        <v>0</v>
      </c>
      <c r="U432">
        <v>0</v>
      </c>
      <c r="V432">
        <v>0</v>
      </c>
      <c r="W432" t="s">
        <v>14</v>
      </c>
      <c r="X432">
        <v>48.38</v>
      </c>
    </row>
    <row r="433" spans="1:24" ht="15">
      <c r="A433">
        <v>426</v>
      </c>
      <c r="B433">
        <v>61249</v>
      </c>
      <c r="C433" t="s">
        <v>1257</v>
      </c>
      <c r="D433" t="s">
        <v>29</v>
      </c>
      <c r="E433" t="s">
        <v>21</v>
      </c>
      <c r="F433" t="str">
        <f>"00157166"</f>
        <v>00157166</v>
      </c>
      <c r="G433">
        <v>15.2</v>
      </c>
      <c r="H433">
        <v>0</v>
      </c>
      <c r="I433">
        <v>0</v>
      </c>
      <c r="J433">
        <v>20</v>
      </c>
      <c r="K433">
        <v>20</v>
      </c>
      <c r="L433">
        <v>7</v>
      </c>
      <c r="O433">
        <v>7</v>
      </c>
      <c r="P433">
        <v>4</v>
      </c>
      <c r="Q433">
        <v>2</v>
      </c>
      <c r="R433">
        <v>48.2</v>
      </c>
      <c r="S433">
        <v>0</v>
      </c>
      <c r="T433">
        <v>0</v>
      </c>
      <c r="U433">
        <v>0</v>
      </c>
      <c r="V433">
        <v>0</v>
      </c>
      <c r="W433" t="s">
        <v>14</v>
      </c>
      <c r="X433">
        <v>48.2</v>
      </c>
    </row>
    <row r="434" spans="1:24" ht="15">
      <c r="A434">
        <v>427</v>
      </c>
      <c r="B434">
        <v>70010</v>
      </c>
      <c r="C434" t="s">
        <v>1258</v>
      </c>
      <c r="D434" t="s">
        <v>27</v>
      </c>
      <c r="E434" t="s">
        <v>774</v>
      </c>
      <c r="F434" t="str">
        <f>"201511032762"</f>
        <v>201511032762</v>
      </c>
      <c r="G434">
        <v>17.18</v>
      </c>
      <c r="H434">
        <v>0</v>
      </c>
      <c r="I434">
        <v>0</v>
      </c>
      <c r="J434">
        <v>20</v>
      </c>
      <c r="K434">
        <v>20</v>
      </c>
      <c r="L434">
        <v>7</v>
      </c>
      <c r="O434">
        <v>7</v>
      </c>
      <c r="P434">
        <v>4</v>
      </c>
      <c r="Q434">
        <v>0</v>
      </c>
      <c r="R434">
        <v>48.18</v>
      </c>
      <c r="S434">
        <v>0</v>
      </c>
      <c r="T434">
        <v>0</v>
      </c>
      <c r="U434">
        <v>0</v>
      </c>
      <c r="V434">
        <v>0</v>
      </c>
      <c r="W434" t="s">
        <v>14</v>
      </c>
      <c r="X434">
        <v>48.18</v>
      </c>
    </row>
    <row r="435" spans="1:24" ht="15">
      <c r="A435">
        <v>428</v>
      </c>
      <c r="B435">
        <v>16475</v>
      </c>
      <c r="C435" t="s">
        <v>1260</v>
      </c>
      <c r="D435" t="s">
        <v>23</v>
      </c>
      <c r="E435" t="s">
        <v>27</v>
      </c>
      <c r="F435" t="str">
        <f>"00006160"</f>
        <v>00006160</v>
      </c>
      <c r="G435">
        <v>15.15</v>
      </c>
      <c r="H435">
        <v>0</v>
      </c>
      <c r="I435">
        <v>0</v>
      </c>
      <c r="J435">
        <v>20</v>
      </c>
      <c r="K435">
        <v>20</v>
      </c>
      <c r="L435">
        <v>7</v>
      </c>
      <c r="O435">
        <v>7</v>
      </c>
      <c r="P435">
        <v>4</v>
      </c>
      <c r="Q435">
        <v>2</v>
      </c>
      <c r="R435">
        <v>48.15</v>
      </c>
      <c r="S435">
        <v>0</v>
      </c>
      <c r="T435">
        <v>0</v>
      </c>
      <c r="U435">
        <v>0</v>
      </c>
      <c r="V435">
        <v>0</v>
      </c>
      <c r="W435" t="s">
        <v>14</v>
      </c>
      <c r="X435">
        <v>48.15</v>
      </c>
    </row>
    <row r="436" spans="1:24" ht="15">
      <c r="A436">
        <v>429</v>
      </c>
      <c r="B436">
        <v>55321</v>
      </c>
      <c r="C436" t="s">
        <v>1261</v>
      </c>
      <c r="D436" t="s">
        <v>35</v>
      </c>
      <c r="E436" t="s">
        <v>288</v>
      </c>
      <c r="F436" t="str">
        <f>"201406017868"</f>
        <v>201406017868</v>
      </c>
      <c r="G436">
        <v>18.08</v>
      </c>
      <c r="H436">
        <v>7</v>
      </c>
      <c r="I436">
        <v>0</v>
      </c>
      <c r="J436">
        <v>0</v>
      </c>
      <c r="K436">
        <v>0</v>
      </c>
      <c r="L436">
        <v>7</v>
      </c>
      <c r="O436">
        <v>7</v>
      </c>
      <c r="P436">
        <v>4</v>
      </c>
      <c r="Q436">
        <v>2</v>
      </c>
      <c r="R436">
        <v>38.08</v>
      </c>
      <c r="S436">
        <v>10</v>
      </c>
      <c r="T436">
        <v>10</v>
      </c>
      <c r="U436">
        <v>0</v>
      </c>
      <c r="V436">
        <v>0</v>
      </c>
      <c r="W436" t="s">
        <v>14</v>
      </c>
      <c r="X436">
        <v>48.08</v>
      </c>
    </row>
    <row r="437" spans="1:24" ht="15">
      <c r="A437">
        <v>430</v>
      </c>
      <c r="B437">
        <v>18818</v>
      </c>
      <c r="C437" t="s">
        <v>1262</v>
      </c>
      <c r="D437" t="s">
        <v>396</v>
      </c>
      <c r="E437" t="s">
        <v>27</v>
      </c>
      <c r="F437" t="str">
        <f>"00155580"</f>
        <v>00155580</v>
      </c>
      <c r="G437">
        <v>16.03</v>
      </c>
      <c r="H437">
        <v>0</v>
      </c>
      <c r="I437">
        <v>0</v>
      </c>
      <c r="J437">
        <v>28</v>
      </c>
      <c r="K437">
        <v>28</v>
      </c>
      <c r="O437">
        <v>0</v>
      </c>
      <c r="P437">
        <v>4</v>
      </c>
      <c r="Q437">
        <v>0</v>
      </c>
      <c r="R437">
        <v>48.03</v>
      </c>
      <c r="S437">
        <v>0</v>
      </c>
      <c r="T437">
        <v>0</v>
      </c>
      <c r="U437">
        <v>0</v>
      </c>
      <c r="V437">
        <v>0</v>
      </c>
      <c r="W437" t="s">
        <v>14</v>
      </c>
      <c r="X437">
        <v>48.03</v>
      </c>
    </row>
    <row r="438" spans="1:24" ht="15">
      <c r="A438">
        <v>431</v>
      </c>
      <c r="B438">
        <v>43678</v>
      </c>
      <c r="C438" t="s">
        <v>1271</v>
      </c>
      <c r="D438" t="s">
        <v>1272</v>
      </c>
      <c r="E438" t="s">
        <v>772</v>
      </c>
      <c r="F438" t="str">
        <f>"00325775"</f>
        <v>00325775</v>
      </c>
      <c r="G438">
        <v>16.95</v>
      </c>
      <c r="H438">
        <v>7</v>
      </c>
      <c r="I438">
        <v>0</v>
      </c>
      <c r="J438">
        <v>20</v>
      </c>
      <c r="K438">
        <v>20</v>
      </c>
      <c r="O438">
        <v>0</v>
      </c>
      <c r="P438">
        <v>4</v>
      </c>
      <c r="Q438">
        <v>0</v>
      </c>
      <c r="R438">
        <v>47.95</v>
      </c>
      <c r="S438">
        <v>0</v>
      </c>
      <c r="T438">
        <v>0</v>
      </c>
      <c r="U438">
        <v>0</v>
      </c>
      <c r="V438">
        <v>0</v>
      </c>
      <c r="W438" t="s">
        <v>14</v>
      </c>
      <c r="X438">
        <v>47.95</v>
      </c>
    </row>
    <row r="439" spans="1:24" ht="15">
      <c r="A439">
        <v>432</v>
      </c>
      <c r="B439">
        <v>23050</v>
      </c>
      <c r="C439" t="s">
        <v>1274</v>
      </c>
      <c r="D439" t="s">
        <v>153</v>
      </c>
      <c r="E439" t="s">
        <v>60</v>
      </c>
      <c r="F439" t="str">
        <f>"00075679"</f>
        <v>00075679</v>
      </c>
      <c r="G439">
        <v>18.85</v>
      </c>
      <c r="H439">
        <v>0</v>
      </c>
      <c r="I439">
        <v>0</v>
      </c>
      <c r="J439">
        <v>20</v>
      </c>
      <c r="K439">
        <v>20</v>
      </c>
      <c r="N439">
        <v>3</v>
      </c>
      <c r="O439">
        <v>3</v>
      </c>
      <c r="P439">
        <v>4</v>
      </c>
      <c r="Q439">
        <v>2</v>
      </c>
      <c r="R439">
        <v>47.85</v>
      </c>
      <c r="S439">
        <v>0</v>
      </c>
      <c r="T439">
        <v>0</v>
      </c>
      <c r="U439">
        <v>0</v>
      </c>
      <c r="V439">
        <v>0</v>
      </c>
      <c r="W439" t="s">
        <v>14</v>
      </c>
      <c r="X439">
        <v>47.85</v>
      </c>
    </row>
    <row r="440" spans="1:24" ht="15">
      <c r="A440">
        <v>433</v>
      </c>
      <c r="B440">
        <v>85190</v>
      </c>
      <c r="C440" t="s">
        <v>1276</v>
      </c>
      <c r="D440" t="s">
        <v>23</v>
      </c>
      <c r="E440" t="s">
        <v>17</v>
      </c>
      <c r="F440" t="str">
        <f>"00145375"</f>
        <v>00145375</v>
      </c>
      <c r="G440">
        <v>16.83</v>
      </c>
      <c r="H440">
        <v>0</v>
      </c>
      <c r="I440">
        <v>0</v>
      </c>
      <c r="J440">
        <v>20</v>
      </c>
      <c r="K440">
        <v>20</v>
      </c>
      <c r="L440">
        <v>7</v>
      </c>
      <c r="O440">
        <v>7</v>
      </c>
      <c r="P440">
        <v>4</v>
      </c>
      <c r="Q440">
        <v>0</v>
      </c>
      <c r="R440">
        <v>47.83</v>
      </c>
      <c r="S440">
        <v>0</v>
      </c>
      <c r="T440">
        <v>0</v>
      </c>
      <c r="U440">
        <v>0</v>
      </c>
      <c r="V440">
        <v>0</v>
      </c>
      <c r="W440" t="s">
        <v>14</v>
      </c>
      <c r="X440">
        <v>47.83</v>
      </c>
    </row>
    <row r="441" spans="1:24" ht="15">
      <c r="A441">
        <v>434</v>
      </c>
      <c r="B441">
        <v>90802</v>
      </c>
      <c r="C441" t="s">
        <v>1277</v>
      </c>
      <c r="D441" t="s">
        <v>186</v>
      </c>
      <c r="E441" t="s">
        <v>17</v>
      </c>
      <c r="F441" t="str">
        <f>"00358919"</f>
        <v>00358919</v>
      </c>
      <c r="G441">
        <v>17.8</v>
      </c>
      <c r="H441">
        <v>0</v>
      </c>
      <c r="I441">
        <v>0</v>
      </c>
      <c r="J441">
        <v>20</v>
      </c>
      <c r="K441">
        <v>20</v>
      </c>
      <c r="N441">
        <v>3</v>
      </c>
      <c r="O441">
        <v>3</v>
      </c>
      <c r="P441">
        <v>4</v>
      </c>
      <c r="Q441">
        <v>0</v>
      </c>
      <c r="R441">
        <v>44.8</v>
      </c>
      <c r="S441">
        <v>0</v>
      </c>
      <c r="T441">
        <v>0</v>
      </c>
      <c r="U441">
        <v>3</v>
      </c>
      <c r="V441">
        <v>0</v>
      </c>
      <c r="W441" t="s">
        <v>14</v>
      </c>
      <c r="X441">
        <v>47.8</v>
      </c>
    </row>
    <row r="442" spans="1:24" ht="15">
      <c r="A442">
        <v>435</v>
      </c>
      <c r="B442">
        <v>23522</v>
      </c>
      <c r="C442" t="s">
        <v>1281</v>
      </c>
      <c r="D442" t="s">
        <v>51</v>
      </c>
      <c r="E442" t="s">
        <v>1282</v>
      </c>
      <c r="F442" t="str">
        <f>"00602403"</f>
        <v>00602403</v>
      </c>
      <c r="G442">
        <v>16.78</v>
      </c>
      <c r="H442">
        <v>0</v>
      </c>
      <c r="I442">
        <v>0</v>
      </c>
      <c r="J442">
        <v>20</v>
      </c>
      <c r="K442">
        <v>20</v>
      </c>
      <c r="L442">
        <v>7</v>
      </c>
      <c r="O442">
        <v>7</v>
      </c>
      <c r="P442">
        <v>4</v>
      </c>
      <c r="Q442">
        <v>0</v>
      </c>
      <c r="R442">
        <v>47.78</v>
      </c>
      <c r="S442">
        <v>0</v>
      </c>
      <c r="T442">
        <v>0</v>
      </c>
      <c r="U442">
        <v>0</v>
      </c>
      <c r="V442">
        <v>0</v>
      </c>
      <c r="W442" t="s">
        <v>14</v>
      </c>
      <c r="X442">
        <v>47.78</v>
      </c>
    </row>
    <row r="443" spans="1:24" ht="15">
      <c r="A443">
        <v>436</v>
      </c>
      <c r="B443">
        <v>75166</v>
      </c>
      <c r="C443" t="s">
        <v>1283</v>
      </c>
      <c r="D443" t="s">
        <v>44</v>
      </c>
      <c r="E443" t="s">
        <v>53</v>
      </c>
      <c r="F443" t="str">
        <f>"00640362"</f>
        <v>00640362</v>
      </c>
      <c r="G443">
        <v>17.73</v>
      </c>
      <c r="H443">
        <v>0</v>
      </c>
      <c r="I443">
        <v>0</v>
      </c>
      <c r="J443">
        <v>20</v>
      </c>
      <c r="K443">
        <v>20</v>
      </c>
      <c r="O443">
        <v>0</v>
      </c>
      <c r="P443">
        <v>4</v>
      </c>
      <c r="Q443">
        <v>0</v>
      </c>
      <c r="R443">
        <v>41.73</v>
      </c>
      <c r="S443">
        <v>0</v>
      </c>
      <c r="T443">
        <v>0</v>
      </c>
      <c r="U443">
        <v>6</v>
      </c>
      <c r="V443">
        <v>0</v>
      </c>
      <c r="W443" t="s">
        <v>14</v>
      </c>
      <c r="X443">
        <v>47.73</v>
      </c>
    </row>
    <row r="444" spans="1:24" ht="15">
      <c r="A444">
        <v>437</v>
      </c>
      <c r="B444">
        <v>31766</v>
      </c>
      <c r="C444" t="s">
        <v>1284</v>
      </c>
      <c r="D444" t="s">
        <v>16</v>
      </c>
      <c r="E444" t="s">
        <v>27</v>
      </c>
      <c r="F444" t="str">
        <f>"201412006436"</f>
        <v>201412006436</v>
      </c>
      <c r="G444">
        <v>20.65</v>
      </c>
      <c r="H444">
        <v>0</v>
      </c>
      <c r="I444">
        <v>0</v>
      </c>
      <c r="J444">
        <v>20</v>
      </c>
      <c r="K444">
        <v>20</v>
      </c>
      <c r="N444">
        <v>3</v>
      </c>
      <c r="O444">
        <v>3</v>
      </c>
      <c r="P444">
        <v>4</v>
      </c>
      <c r="Q444">
        <v>0</v>
      </c>
      <c r="R444">
        <v>47.65</v>
      </c>
      <c r="S444">
        <v>0</v>
      </c>
      <c r="T444">
        <v>0</v>
      </c>
      <c r="U444">
        <v>0</v>
      </c>
      <c r="V444">
        <v>0</v>
      </c>
      <c r="W444" t="s">
        <v>14</v>
      </c>
      <c r="X444">
        <v>47.65</v>
      </c>
    </row>
    <row r="445" spans="1:24" ht="15">
      <c r="A445">
        <v>438</v>
      </c>
      <c r="B445">
        <v>96987</v>
      </c>
      <c r="C445" t="s">
        <v>1285</v>
      </c>
      <c r="D445" t="s">
        <v>683</v>
      </c>
      <c r="E445" t="s">
        <v>124</v>
      </c>
      <c r="F445" t="str">
        <f>"00008058"</f>
        <v>00008058</v>
      </c>
      <c r="G445">
        <v>18.63</v>
      </c>
      <c r="H445">
        <v>0</v>
      </c>
      <c r="I445">
        <v>0</v>
      </c>
      <c r="J445">
        <v>20</v>
      </c>
      <c r="K445">
        <v>20</v>
      </c>
      <c r="M445">
        <v>5</v>
      </c>
      <c r="O445">
        <v>5</v>
      </c>
      <c r="P445">
        <v>4</v>
      </c>
      <c r="Q445">
        <v>0</v>
      </c>
      <c r="R445">
        <v>47.63</v>
      </c>
      <c r="S445">
        <v>0</v>
      </c>
      <c r="T445">
        <v>0</v>
      </c>
      <c r="U445">
        <v>0</v>
      </c>
      <c r="V445">
        <v>0</v>
      </c>
      <c r="W445" t="s">
        <v>14</v>
      </c>
      <c r="X445">
        <v>47.63</v>
      </c>
    </row>
    <row r="446" spans="1:24" ht="15">
      <c r="A446">
        <v>439</v>
      </c>
      <c r="B446">
        <v>53054</v>
      </c>
      <c r="C446" t="s">
        <v>1286</v>
      </c>
      <c r="D446" t="s">
        <v>1287</v>
      </c>
      <c r="E446" t="s">
        <v>273</v>
      </c>
      <c r="F446" t="str">
        <f>"00626271"</f>
        <v>00626271</v>
      </c>
      <c r="G446">
        <v>20.55</v>
      </c>
      <c r="H446">
        <v>0</v>
      </c>
      <c r="I446">
        <v>0</v>
      </c>
      <c r="J446">
        <v>20</v>
      </c>
      <c r="K446">
        <v>20</v>
      </c>
      <c r="N446">
        <v>3</v>
      </c>
      <c r="O446">
        <v>3</v>
      </c>
      <c r="P446">
        <v>4</v>
      </c>
      <c r="Q446">
        <v>0</v>
      </c>
      <c r="R446">
        <v>47.55</v>
      </c>
      <c r="S446">
        <v>0</v>
      </c>
      <c r="T446">
        <v>0</v>
      </c>
      <c r="U446">
        <v>0</v>
      </c>
      <c r="V446">
        <v>0</v>
      </c>
      <c r="W446" t="s">
        <v>14</v>
      </c>
      <c r="X446">
        <v>47.55</v>
      </c>
    </row>
    <row r="447" spans="1:24" ht="15">
      <c r="A447">
        <v>440</v>
      </c>
      <c r="B447">
        <v>75182</v>
      </c>
      <c r="C447" t="s">
        <v>1292</v>
      </c>
      <c r="D447" t="s">
        <v>188</v>
      </c>
      <c r="E447" t="s">
        <v>23</v>
      </c>
      <c r="F447" t="str">
        <f>"00111494"</f>
        <v>00111494</v>
      </c>
      <c r="G447">
        <v>17.5</v>
      </c>
      <c r="H447">
        <v>0</v>
      </c>
      <c r="I447">
        <v>0</v>
      </c>
      <c r="J447">
        <v>20</v>
      </c>
      <c r="K447">
        <v>20</v>
      </c>
      <c r="O447">
        <v>0</v>
      </c>
      <c r="P447">
        <v>4</v>
      </c>
      <c r="Q447">
        <v>0</v>
      </c>
      <c r="R447">
        <v>41.5</v>
      </c>
      <c r="S447">
        <v>0</v>
      </c>
      <c r="T447">
        <v>0</v>
      </c>
      <c r="U447">
        <v>6</v>
      </c>
      <c r="V447">
        <v>0</v>
      </c>
      <c r="W447" t="s">
        <v>14</v>
      </c>
      <c r="X447">
        <v>47.5</v>
      </c>
    </row>
    <row r="448" spans="1:24" ht="15">
      <c r="A448">
        <v>441</v>
      </c>
      <c r="B448">
        <v>116091</v>
      </c>
      <c r="C448" t="s">
        <v>1293</v>
      </c>
      <c r="D448" t="s">
        <v>41</v>
      </c>
      <c r="E448" t="s">
        <v>273</v>
      </c>
      <c r="F448" t="str">
        <f>"201504002034"</f>
        <v>201504002034</v>
      </c>
      <c r="G448">
        <v>17.5</v>
      </c>
      <c r="H448">
        <v>0</v>
      </c>
      <c r="I448">
        <v>0</v>
      </c>
      <c r="J448">
        <v>20</v>
      </c>
      <c r="K448">
        <v>20</v>
      </c>
      <c r="N448">
        <v>3</v>
      </c>
      <c r="O448">
        <v>3</v>
      </c>
      <c r="P448">
        <v>4</v>
      </c>
      <c r="Q448">
        <v>0</v>
      </c>
      <c r="R448">
        <v>44.5</v>
      </c>
      <c r="S448">
        <v>0</v>
      </c>
      <c r="T448">
        <v>0</v>
      </c>
      <c r="U448">
        <v>3</v>
      </c>
      <c r="V448">
        <v>0</v>
      </c>
      <c r="W448" t="s">
        <v>14</v>
      </c>
      <c r="X448">
        <v>47.5</v>
      </c>
    </row>
    <row r="449" spans="1:24" ht="15">
      <c r="A449">
        <v>442</v>
      </c>
      <c r="B449">
        <v>110436</v>
      </c>
      <c r="C449" t="s">
        <v>1294</v>
      </c>
      <c r="D449" t="s">
        <v>30</v>
      </c>
      <c r="E449" t="s">
        <v>80</v>
      </c>
      <c r="F449" t="str">
        <f>"201506004477"</f>
        <v>201506004477</v>
      </c>
      <c r="G449">
        <v>16.48</v>
      </c>
      <c r="H449">
        <v>0</v>
      </c>
      <c r="I449">
        <v>0</v>
      </c>
      <c r="J449">
        <v>20</v>
      </c>
      <c r="K449">
        <v>20</v>
      </c>
      <c r="L449">
        <v>7</v>
      </c>
      <c r="O449">
        <v>7</v>
      </c>
      <c r="P449">
        <v>4</v>
      </c>
      <c r="Q449">
        <v>0</v>
      </c>
      <c r="R449">
        <v>47.48</v>
      </c>
      <c r="S449">
        <v>0</v>
      </c>
      <c r="T449">
        <v>0</v>
      </c>
      <c r="U449">
        <v>0</v>
      </c>
      <c r="V449">
        <v>0</v>
      </c>
      <c r="W449" t="s">
        <v>14</v>
      </c>
      <c r="X449">
        <v>47.48</v>
      </c>
    </row>
    <row r="450" spans="1:24" ht="15">
      <c r="A450">
        <v>443</v>
      </c>
      <c r="B450">
        <v>69181</v>
      </c>
      <c r="C450" t="s">
        <v>1297</v>
      </c>
      <c r="D450" t="s">
        <v>21</v>
      </c>
      <c r="E450" t="s">
        <v>27</v>
      </c>
      <c r="F450" t="str">
        <f>"00143013"</f>
        <v>00143013</v>
      </c>
      <c r="G450">
        <v>16.38</v>
      </c>
      <c r="H450">
        <v>0</v>
      </c>
      <c r="I450">
        <v>0</v>
      </c>
      <c r="J450">
        <v>20</v>
      </c>
      <c r="K450">
        <v>20</v>
      </c>
      <c r="M450">
        <v>5</v>
      </c>
      <c r="O450">
        <v>5</v>
      </c>
      <c r="P450">
        <v>4</v>
      </c>
      <c r="Q450">
        <v>2</v>
      </c>
      <c r="R450">
        <v>47.38</v>
      </c>
      <c r="S450">
        <v>0</v>
      </c>
      <c r="T450">
        <v>0</v>
      </c>
      <c r="U450">
        <v>0</v>
      </c>
      <c r="V450">
        <v>0</v>
      </c>
      <c r="W450" t="s">
        <v>14</v>
      </c>
      <c r="X450">
        <v>47.38</v>
      </c>
    </row>
    <row r="451" spans="1:24" ht="15">
      <c r="A451">
        <v>444</v>
      </c>
      <c r="B451">
        <v>45830</v>
      </c>
      <c r="C451" t="s">
        <v>1298</v>
      </c>
      <c r="D451" t="s">
        <v>30</v>
      </c>
      <c r="E451" t="s">
        <v>124</v>
      </c>
      <c r="F451" t="str">
        <f>"200802003808"</f>
        <v>200802003808</v>
      </c>
      <c r="G451">
        <v>18.33</v>
      </c>
      <c r="H451">
        <v>0</v>
      </c>
      <c r="I451">
        <v>0</v>
      </c>
      <c r="J451">
        <v>20</v>
      </c>
      <c r="K451">
        <v>20</v>
      </c>
      <c r="M451">
        <v>5</v>
      </c>
      <c r="O451">
        <v>5</v>
      </c>
      <c r="P451">
        <v>4</v>
      </c>
      <c r="Q451">
        <v>0</v>
      </c>
      <c r="R451">
        <v>47.33</v>
      </c>
      <c r="S451">
        <v>0</v>
      </c>
      <c r="T451">
        <v>0</v>
      </c>
      <c r="U451">
        <v>0</v>
      </c>
      <c r="V451">
        <v>0</v>
      </c>
      <c r="W451" t="s">
        <v>14</v>
      </c>
      <c r="X451">
        <v>47.33</v>
      </c>
    </row>
    <row r="452" spans="1:24" ht="15">
      <c r="A452">
        <v>445</v>
      </c>
      <c r="B452">
        <v>40760</v>
      </c>
      <c r="C452" t="s">
        <v>1299</v>
      </c>
      <c r="D452" t="s">
        <v>37</v>
      </c>
      <c r="E452" t="s">
        <v>17</v>
      </c>
      <c r="F452" t="str">
        <f>"00612229"</f>
        <v>00612229</v>
      </c>
      <c r="G452">
        <v>18.33</v>
      </c>
      <c r="H452">
        <v>0</v>
      </c>
      <c r="I452">
        <v>0</v>
      </c>
      <c r="J452">
        <v>20</v>
      </c>
      <c r="K452">
        <v>20</v>
      </c>
      <c r="N452">
        <v>3</v>
      </c>
      <c r="O452">
        <v>3</v>
      </c>
      <c r="P452">
        <v>4</v>
      </c>
      <c r="Q452">
        <v>2</v>
      </c>
      <c r="R452">
        <v>47.33</v>
      </c>
      <c r="S452">
        <v>0</v>
      </c>
      <c r="T452">
        <v>0</v>
      </c>
      <c r="U452">
        <v>0</v>
      </c>
      <c r="V452">
        <v>0</v>
      </c>
      <c r="W452" t="s">
        <v>14</v>
      </c>
      <c r="X452">
        <v>47.33</v>
      </c>
    </row>
    <row r="453" spans="1:24" ht="15">
      <c r="A453">
        <v>446</v>
      </c>
      <c r="B453">
        <v>68765</v>
      </c>
      <c r="C453" t="s">
        <v>1075</v>
      </c>
      <c r="D453" t="s">
        <v>284</v>
      </c>
      <c r="E453" t="s">
        <v>27</v>
      </c>
      <c r="F453" t="str">
        <f>"00572440"</f>
        <v>00572440</v>
      </c>
      <c r="G453">
        <v>16.25</v>
      </c>
      <c r="H453">
        <v>7</v>
      </c>
      <c r="I453">
        <v>0</v>
      </c>
      <c r="J453">
        <v>20</v>
      </c>
      <c r="K453">
        <v>20</v>
      </c>
      <c r="O453">
        <v>0</v>
      </c>
      <c r="P453">
        <v>4</v>
      </c>
      <c r="Q453">
        <v>0</v>
      </c>
      <c r="R453">
        <v>47.25</v>
      </c>
      <c r="S453">
        <v>0</v>
      </c>
      <c r="T453">
        <v>0</v>
      </c>
      <c r="U453">
        <v>0</v>
      </c>
      <c r="V453">
        <v>0</v>
      </c>
      <c r="W453" t="s">
        <v>14</v>
      </c>
      <c r="X453">
        <v>47.25</v>
      </c>
    </row>
    <row r="454" spans="1:24" ht="15">
      <c r="A454">
        <v>447</v>
      </c>
      <c r="B454">
        <v>61967</v>
      </c>
      <c r="C454" t="s">
        <v>1308</v>
      </c>
      <c r="D454" t="s">
        <v>138</v>
      </c>
      <c r="E454" t="s">
        <v>12</v>
      </c>
      <c r="F454" t="str">
        <f>"00011025"</f>
        <v>00011025</v>
      </c>
      <c r="G454">
        <v>18.18</v>
      </c>
      <c r="H454">
        <v>0</v>
      </c>
      <c r="I454">
        <v>0</v>
      </c>
      <c r="J454">
        <v>20</v>
      </c>
      <c r="K454">
        <v>20</v>
      </c>
      <c r="N454">
        <v>3</v>
      </c>
      <c r="O454">
        <v>3</v>
      </c>
      <c r="P454">
        <v>4</v>
      </c>
      <c r="Q454">
        <v>2</v>
      </c>
      <c r="R454">
        <v>47.18</v>
      </c>
      <c r="S454">
        <v>0</v>
      </c>
      <c r="T454">
        <v>0</v>
      </c>
      <c r="U454">
        <v>0</v>
      </c>
      <c r="V454">
        <v>0</v>
      </c>
      <c r="W454" t="s">
        <v>14</v>
      </c>
      <c r="X454">
        <v>47.18</v>
      </c>
    </row>
    <row r="455" spans="1:24" ht="15">
      <c r="A455">
        <v>448</v>
      </c>
      <c r="B455">
        <v>47330</v>
      </c>
      <c r="C455" t="s">
        <v>1309</v>
      </c>
      <c r="D455" t="s">
        <v>80</v>
      </c>
      <c r="E455" t="s">
        <v>375</v>
      </c>
      <c r="F455" t="str">
        <f>"00620142"</f>
        <v>00620142</v>
      </c>
      <c r="G455">
        <v>16.18</v>
      </c>
      <c r="H455">
        <v>0</v>
      </c>
      <c r="I455">
        <v>0</v>
      </c>
      <c r="J455">
        <v>20</v>
      </c>
      <c r="K455">
        <v>20</v>
      </c>
      <c r="L455">
        <v>7</v>
      </c>
      <c r="O455">
        <v>7</v>
      </c>
      <c r="P455">
        <v>4</v>
      </c>
      <c r="Q455">
        <v>0</v>
      </c>
      <c r="R455">
        <v>47.18</v>
      </c>
      <c r="S455">
        <v>0</v>
      </c>
      <c r="T455">
        <v>0</v>
      </c>
      <c r="U455">
        <v>0</v>
      </c>
      <c r="V455">
        <v>0</v>
      </c>
      <c r="W455" t="s">
        <v>14</v>
      </c>
      <c r="X455">
        <v>47.18</v>
      </c>
    </row>
    <row r="456" spans="1:24" ht="15">
      <c r="A456">
        <v>449</v>
      </c>
      <c r="B456">
        <v>21682</v>
      </c>
      <c r="C456" t="s">
        <v>1311</v>
      </c>
      <c r="D456" t="s">
        <v>363</v>
      </c>
      <c r="E456" t="s">
        <v>80</v>
      </c>
      <c r="F456" t="str">
        <f>"00592403"</f>
        <v>00592403</v>
      </c>
      <c r="G456">
        <v>15.1</v>
      </c>
      <c r="H456">
        <v>7</v>
      </c>
      <c r="I456">
        <v>0</v>
      </c>
      <c r="J456">
        <v>0</v>
      </c>
      <c r="K456">
        <v>0</v>
      </c>
      <c r="N456">
        <v>3</v>
      </c>
      <c r="O456">
        <v>3</v>
      </c>
      <c r="P456">
        <v>4</v>
      </c>
      <c r="Q456">
        <v>0</v>
      </c>
      <c r="R456">
        <v>29.1</v>
      </c>
      <c r="S456">
        <v>6</v>
      </c>
      <c r="T456">
        <v>6</v>
      </c>
      <c r="U456">
        <v>12</v>
      </c>
      <c r="V456">
        <v>0</v>
      </c>
      <c r="W456" t="s">
        <v>14</v>
      </c>
      <c r="X456">
        <v>47.1</v>
      </c>
    </row>
    <row r="457" spans="1:24" ht="15">
      <c r="A457">
        <v>450</v>
      </c>
      <c r="B457">
        <v>46847</v>
      </c>
      <c r="C457" t="s">
        <v>1314</v>
      </c>
      <c r="D457" t="s">
        <v>21</v>
      </c>
      <c r="E457" t="s">
        <v>17</v>
      </c>
      <c r="F457" t="str">
        <f>"00616574"</f>
        <v>00616574</v>
      </c>
      <c r="G457">
        <v>16.08</v>
      </c>
      <c r="H457">
        <v>0</v>
      </c>
      <c r="I457">
        <v>0</v>
      </c>
      <c r="J457">
        <v>20</v>
      </c>
      <c r="K457">
        <v>20</v>
      </c>
      <c r="L457">
        <v>7</v>
      </c>
      <c r="O457">
        <v>7</v>
      </c>
      <c r="P457">
        <v>4</v>
      </c>
      <c r="Q457">
        <v>0</v>
      </c>
      <c r="R457">
        <v>47.08</v>
      </c>
      <c r="S457">
        <v>0</v>
      </c>
      <c r="T457">
        <v>0</v>
      </c>
      <c r="U457">
        <v>0</v>
      </c>
      <c r="V457">
        <v>0</v>
      </c>
      <c r="W457" t="s">
        <v>14</v>
      </c>
      <c r="X457">
        <v>47.08</v>
      </c>
    </row>
    <row r="458" spans="1:24" ht="15">
      <c r="A458">
        <v>451</v>
      </c>
      <c r="B458">
        <v>111052</v>
      </c>
      <c r="C458" t="s">
        <v>1316</v>
      </c>
      <c r="D458" t="s">
        <v>53</v>
      </c>
      <c r="E458" t="s">
        <v>12</v>
      </c>
      <c r="F458" t="str">
        <f>"200712001366"</f>
        <v>200712001366</v>
      </c>
      <c r="G458">
        <v>17</v>
      </c>
      <c r="H458">
        <v>7</v>
      </c>
      <c r="I458">
        <v>0</v>
      </c>
      <c r="J458">
        <v>0</v>
      </c>
      <c r="K458">
        <v>0</v>
      </c>
      <c r="L458">
        <v>7</v>
      </c>
      <c r="N458">
        <v>3</v>
      </c>
      <c r="O458">
        <v>10</v>
      </c>
      <c r="P458">
        <v>4</v>
      </c>
      <c r="Q458">
        <v>0</v>
      </c>
      <c r="R458">
        <v>38</v>
      </c>
      <c r="S458">
        <v>0</v>
      </c>
      <c r="T458">
        <v>0</v>
      </c>
      <c r="U458">
        <v>9</v>
      </c>
      <c r="V458">
        <v>0</v>
      </c>
      <c r="W458" t="s">
        <v>14</v>
      </c>
      <c r="X458">
        <v>47</v>
      </c>
    </row>
    <row r="459" spans="1:24" ht="15">
      <c r="A459">
        <v>452</v>
      </c>
      <c r="B459">
        <v>76235</v>
      </c>
      <c r="C459" t="s">
        <v>1192</v>
      </c>
      <c r="D459" t="s">
        <v>469</v>
      </c>
      <c r="E459" t="s">
        <v>67</v>
      </c>
      <c r="F459" t="str">
        <f>"00089795"</f>
        <v>00089795</v>
      </c>
      <c r="G459">
        <v>15.98</v>
      </c>
      <c r="H459">
        <v>0</v>
      </c>
      <c r="I459">
        <v>0</v>
      </c>
      <c r="J459">
        <v>20</v>
      </c>
      <c r="K459">
        <v>20</v>
      </c>
      <c r="L459">
        <v>7</v>
      </c>
      <c r="O459">
        <v>7</v>
      </c>
      <c r="P459">
        <v>4</v>
      </c>
      <c r="Q459">
        <v>0</v>
      </c>
      <c r="R459">
        <v>46.98</v>
      </c>
      <c r="S459">
        <v>0</v>
      </c>
      <c r="T459">
        <v>0</v>
      </c>
      <c r="U459">
        <v>0</v>
      </c>
      <c r="V459">
        <v>0</v>
      </c>
      <c r="W459" t="s">
        <v>14</v>
      </c>
      <c r="X459">
        <v>46.98</v>
      </c>
    </row>
    <row r="460" spans="1:24" ht="15">
      <c r="A460">
        <v>453</v>
      </c>
      <c r="B460">
        <v>83877</v>
      </c>
      <c r="C460" t="s">
        <v>1317</v>
      </c>
      <c r="D460" t="s">
        <v>1318</v>
      </c>
      <c r="E460" t="s">
        <v>114</v>
      </c>
      <c r="F460" t="str">
        <f>"00185506"</f>
        <v>00185506</v>
      </c>
      <c r="G460">
        <v>15.95</v>
      </c>
      <c r="H460">
        <v>0</v>
      </c>
      <c r="I460">
        <v>0</v>
      </c>
      <c r="J460">
        <v>20</v>
      </c>
      <c r="K460">
        <v>20</v>
      </c>
      <c r="L460">
        <v>7</v>
      </c>
      <c r="O460">
        <v>7</v>
      </c>
      <c r="P460">
        <v>4</v>
      </c>
      <c r="Q460">
        <v>0</v>
      </c>
      <c r="R460">
        <v>46.95</v>
      </c>
      <c r="S460">
        <v>0</v>
      </c>
      <c r="T460">
        <v>0</v>
      </c>
      <c r="U460">
        <v>0</v>
      </c>
      <c r="V460">
        <v>0</v>
      </c>
      <c r="W460" t="s">
        <v>14</v>
      </c>
      <c r="X460">
        <v>46.95</v>
      </c>
    </row>
    <row r="461" spans="1:24" ht="15">
      <c r="A461">
        <v>454</v>
      </c>
      <c r="B461">
        <v>58518</v>
      </c>
      <c r="C461" t="s">
        <v>1322</v>
      </c>
      <c r="D461" t="s">
        <v>21</v>
      </c>
      <c r="E461" t="s">
        <v>17</v>
      </c>
      <c r="F461" t="str">
        <f>"00021287"</f>
        <v>00021287</v>
      </c>
      <c r="G461">
        <v>19.88</v>
      </c>
      <c r="H461">
        <v>0</v>
      </c>
      <c r="I461">
        <v>0</v>
      </c>
      <c r="J461">
        <v>20</v>
      </c>
      <c r="K461">
        <v>20</v>
      </c>
      <c r="N461">
        <v>3</v>
      </c>
      <c r="O461">
        <v>3</v>
      </c>
      <c r="P461">
        <v>4</v>
      </c>
      <c r="Q461">
        <v>0</v>
      </c>
      <c r="R461">
        <v>46.88</v>
      </c>
      <c r="S461">
        <v>0</v>
      </c>
      <c r="T461">
        <v>0</v>
      </c>
      <c r="U461">
        <v>0</v>
      </c>
      <c r="V461">
        <v>0</v>
      </c>
      <c r="W461" t="s">
        <v>14</v>
      </c>
      <c r="X461">
        <v>46.88</v>
      </c>
    </row>
    <row r="462" spans="1:24" ht="15">
      <c r="A462">
        <v>455</v>
      </c>
      <c r="B462">
        <v>89899</v>
      </c>
      <c r="C462" t="s">
        <v>1323</v>
      </c>
      <c r="D462" t="s">
        <v>558</v>
      </c>
      <c r="E462" t="s">
        <v>124</v>
      </c>
      <c r="F462" t="str">
        <f>"00369841"</f>
        <v>00369841</v>
      </c>
      <c r="G462">
        <v>19.85</v>
      </c>
      <c r="H462">
        <v>0</v>
      </c>
      <c r="I462">
        <v>0</v>
      </c>
      <c r="J462">
        <v>20</v>
      </c>
      <c r="K462">
        <v>20</v>
      </c>
      <c r="N462">
        <v>3</v>
      </c>
      <c r="O462">
        <v>3</v>
      </c>
      <c r="P462">
        <v>4</v>
      </c>
      <c r="Q462">
        <v>0</v>
      </c>
      <c r="R462">
        <v>46.85</v>
      </c>
      <c r="S462">
        <v>0</v>
      </c>
      <c r="T462">
        <v>0</v>
      </c>
      <c r="U462">
        <v>0</v>
      </c>
      <c r="V462">
        <v>0</v>
      </c>
      <c r="W462" t="s">
        <v>14</v>
      </c>
      <c r="X462">
        <v>46.85</v>
      </c>
    </row>
    <row r="463" spans="1:24" ht="15">
      <c r="A463">
        <v>456</v>
      </c>
      <c r="B463">
        <v>14779</v>
      </c>
      <c r="C463" t="s">
        <v>1326</v>
      </c>
      <c r="D463" t="s">
        <v>1327</v>
      </c>
      <c r="E463" t="s">
        <v>21</v>
      </c>
      <c r="F463" t="str">
        <f>"201406013326"</f>
        <v>201406013326</v>
      </c>
      <c r="G463">
        <v>19.75</v>
      </c>
      <c r="H463">
        <v>0</v>
      </c>
      <c r="I463">
        <v>0</v>
      </c>
      <c r="J463">
        <v>20</v>
      </c>
      <c r="K463">
        <v>20</v>
      </c>
      <c r="N463">
        <v>3</v>
      </c>
      <c r="O463">
        <v>3</v>
      </c>
      <c r="P463">
        <v>4</v>
      </c>
      <c r="Q463">
        <v>0</v>
      </c>
      <c r="R463">
        <v>46.75</v>
      </c>
      <c r="S463">
        <v>0</v>
      </c>
      <c r="T463">
        <v>0</v>
      </c>
      <c r="U463">
        <v>0</v>
      </c>
      <c r="V463">
        <v>0</v>
      </c>
      <c r="W463" t="s">
        <v>14</v>
      </c>
      <c r="X463">
        <v>46.75</v>
      </c>
    </row>
    <row r="464" spans="1:24" ht="15">
      <c r="A464">
        <v>457</v>
      </c>
      <c r="B464">
        <v>33248</v>
      </c>
      <c r="C464" t="s">
        <v>1334</v>
      </c>
      <c r="D464" t="s">
        <v>1023</v>
      </c>
      <c r="E464" t="s">
        <v>12</v>
      </c>
      <c r="F464" t="str">
        <f>"00273721"</f>
        <v>00273721</v>
      </c>
      <c r="G464">
        <v>16.65</v>
      </c>
      <c r="H464">
        <v>0</v>
      </c>
      <c r="I464">
        <v>0</v>
      </c>
      <c r="J464">
        <v>20</v>
      </c>
      <c r="K464">
        <v>20</v>
      </c>
      <c r="N464">
        <v>3</v>
      </c>
      <c r="O464">
        <v>3</v>
      </c>
      <c r="P464">
        <v>4</v>
      </c>
      <c r="Q464">
        <v>0</v>
      </c>
      <c r="R464">
        <v>43.65</v>
      </c>
      <c r="S464">
        <v>0</v>
      </c>
      <c r="T464">
        <v>0</v>
      </c>
      <c r="U464">
        <v>3</v>
      </c>
      <c r="V464">
        <v>0</v>
      </c>
      <c r="W464" t="s">
        <v>14</v>
      </c>
      <c r="X464">
        <v>46.65</v>
      </c>
    </row>
    <row r="465" spans="1:24" ht="15">
      <c r="A465">
        <v>458</v>
      </c>
      <c r="B465">
        <v>31076</v>
      </c>
      <c r="C465" t="s">
        <v>1336</v>
      </c>
      <c r="D465" t="s">
        <v>16</v>
      </c>
      <c r="E465" t="s">
        <v>23</v>
      </c>
      <c r="F465" t="str">
        <f>"200802010198"</f>
        <v>200802010198</v>
      </c>
      <c r="G465">
        <v>16.5</v>
      </c>
      <c r="H465">
        <v>0</v>
      </c>
      <c r="I465">
        <v>0</v>
      </c>
      <c r="J465">
        <v>20</v>
      </c>
      <c r="K465">
        <v>20</v>
      </c>
      <c r="N465">
        <v>3</v>
      </c>
      <c r="O465">
        <v>3</v>
      </c>
      <c r="P465">
        <v>4</v>
      </c>
      <c r="Q465">
        <v>0</v>
      </c>
      <c r="R465">
        <v>43.5</v>
      </c>
      <c r="S465">
        <v>0</v>
      </c>
      <c r="T465">
        <v>0</v>
      </c>
      <c r="U465">
        <v>3</v>
      </c>
      <c r="V465">
        <v>0</v>
      </c>
      <c r="W465" t="s">
        <v>14</v>
      </c>
      <c r="X465">
        <v>46.5</v>
      </c>
    </row>
    <row r="466" spans="1:24" ht="15">
      <c r="A466">
        <v>459</v>
      </c>
      <c r="B466">
        <v>107153</v>
      </c>
      <c r="C466" t="s">
        <v>1337</v>
      </c>
      <c r="D466" t="s">
        <v>153</v>
      </c>
      <c r="E466" t="s">
        <v>60</v>
      </c>
      <c r="F466" t="str">
        <f>"00559718"</f>
        <v>00559718</v>
      </c>
      <c r="G466">
        <v>19.48</v>
      </c>
      <c r="H466">
        <v>0</v>
      </c>
      <c r="I466">
        <v>0</v>
      </c>
      <c r="J466">
        <v>20</v>
      </c>
      <c r="K466">
        <v>20</v>
      </c>
      <c r="N466">
        <v>3</v>
      </c>
      <c r="O466">
        <v>3</v>
      </c>
      <c r="P466">
        <v>4</v>
      </c>
      <c r="Q466">
        <v>0</v>
      </c>
      <c r="R466">
        <v>46.48</v>
      </c>
      <c r="S466">
        <v>0</v>
      </c>
      <c r="T466">
        <v>0</v>
      </c>
      <c r="U466">
        <v>0</v>
      </c>
      <c r="V466">
        <v>0</v>
      </c>
      <c r="W466" t="s">
        <v>14</v>
      </c>
      <c r="X466">
        <v>46.48</v>
      </c>
    </row>
    <row r="467" spans="1:24" ht="15">
      <c r="A467">
        <v>460</v>
      </c>
      <c r="B467">
        <v>48450</v>
      </c>
      <c r="C467" t="s">
        <v>1339</v>
      </c>
      <c r="D467" t="s">
        <v>316</v>
      </c>
      <c r="E467" t="s">
        <v>124</v>
      </c>
      <c r="F467" t="str">
        <f>"00273566"</f>
        <v>00273566</v>
      </c>
      <c r="G467">
        <v>16.43</v>
      </c>
      <c r="H467">
        <v>0</v>
      </c>
      <c r="I467">
        <v>0</v>
      </c>
      <c r="J467">
        <v>20</v>
      </c>
      <c r="K467">
        <v>20</v>
      </c>
      <c r="N467">
        <v>3</v>
      </c>
      <c r="O467">
        <v>3</v>
      </c>
      <c r="P467">
        <v>4</v>
      </c>
      <c r="Q467">
        <v>0</v>
      </c>
      <c r="R467">
        <v>43.43</v>
      </c>
      <c r="S467">
        <v>0</v>
      </c>
      <c r="T467">
        <v>0</v>
      </c>
      <c r="U467">
        <v>3</v>
      </c>
      <c r="V467">
        <v>0</v>
      </c>
      <c r="W467" t="s">
        <v>14</v>
      </c>
      <c r="X467">
        <v>46.43</v>
      </c>
    </row>
    <row r="468" spans="1:24" ht="15">
      <c r="A468">
        <v>461</v>
      </c>
      <c r="B468">
        <v>1823</v>
      </c>
      <c r="C468" t="s">
        <v>1342</v>
      </c>
      <c r="D468" t="s">
        <v>29</v>
      </c>
      <c r="E468" t="s">
        <v>21</v>
      </c>
      <c r="F468" t="str">
        <f>"00606082"</f>
        <v>00606082</v>
      </c>
      <c r="G468">
        <v>19.35</v>
      </c>
      <c r="H468">
        <v>0</v>
      </c>
      <c r="I468">
        <v>0</v>
      </c>
      <c r="J468">
        <v>20</v>
      </c>
      <c r="K468">
        <v>20</v>
      </c>
      <c r="N468">
        <v>3</v>
      </c>
      <c r="O468">
        <v>3</v>
      </c>
      <c r="P468">
        <v>4</v>
      </c>
      <c r="Q468">
        <v>0</v>
      </c>
      <c r="R468">
        <v>46.35</v>
      </c>
      <c r="S468">
        <v>0</v>
      </c>
      <c r="T468">
        <v>0</v>
      </c>
      <c r="U468">
        <v>0</v>
      </c>
      <c r="V468">
        <v>0</v>
      </c>
      <c r="W468" t="s">
        <v>14</v>
      </c>
      <c r="X468">
        <v>46.35</v>
      </c>
    </row>
    <row r="469" spans="1:24" ht="15">
      <c r="A469">
        <v>462</v>
      </c>
      <c r="B469">
        <v>74958</v>
      </c>
      <c r="C469" t="s">
        <v>1344</v>
      </c>
      <c r="D469" t="s">
        <v>27</v>
      </c>
      <c r="E469" t="s">
        <v>21</v>
      </c>
      <c r="F469" t="str">
        <f>"00010060"</f>
        <v>00010060</v>
      </c>
      <c r="G469">
        <v>15.25</v>
      </c>
      <c r="H469">
        <v>0</v>
      </c>
      <c r="I469">
        <v>0</v>
      </c>
      <c r="J469">
        <v>20</v>
      </c>
      <c r="K469">
        <v>20</v>
      </c>
      <c r="L469">
        <v>7</v>
      </c>
      <c r="O469">
        <v>7</v>
      </c>
      <c r="P469">
        <v>4</v>
      </c>
      <c r="Q469">
        <v>0</v>
      </c>
      <c r="R469">
        <v>46.25</v>
      </c>
      <c r="S469">
        <v>0</v>
      </c>
      <c r="T469">
        <v>0</v>
      </c>
      <c r="U469">
        <v>0</v>
      </c>
      <c r="V469">
        <v>0</v>
      </c>
      <c r="W469" t="s">
        <v>14</v>
      </c>
      <c r="X469">
        <v>46.25</v>
      </c>
    </row>
    <row r="470" spans="1:24" ht="15">
      <c r="A470">
        <v>463</v>
      </c>
      <c r="B470">
        <v>35275</v>
      </c>
      <c r="C470" t="s">
        <v>1346</v>
      </c>
      <c r="D470" t="s">
        <v>253</v>
      </c>
      <c r="E470" t="s">
        <v>21</v>
      </c>
      <c r="F470" t="str">
        <f>"00426341"</f>
        <v>00426341</v>
      </c>
      <c r="G470">
        <v>19.23</v>
      </c>
      <c r="H470">
        <v>0</v>
      </c>
      <c r="I470">
        <v>0</v>
      </c>
      <c r="J470">
        <v>20</v>
      </c>
      <c r="K470">
        <v>20</v>
      </c>
      <c r="N470">
        <v>3</v>
      </c>
      <c r="O470">
        <v>3</v>
      </c>
      <c r="P470">
        <v>4</v>
      </c>
      <c r="Q470">
        <v>0</v>
      </c>
      <c r="R470">
        <v>46.23</v>
      </c>
      <c r="S470">
        <v>0</v>
      </c>
      <c r="T470">
        <v>0</v>
      </c>
      <c r="U470">
        <v>0</v>
      </c>
      <c r="V470">
        <v>0</v>
      </c>
      <c r="W470" t="s">
        <v>14</v>
      </c>
      <c r="X470">
        <v>46.23</v>
      </c>
    </row>
    <row r="471" spans="1:24" ht="15">
      <c r="A471">
        <v>464</v>
      </c>
      <c r="B471">
        <v>81674</v>
      </c>
      <c r="C471" t="s">
        <v>855</v>
      </c>
      <c r="D471" t="s">
        <v>122</v>
      </c>
      <c r="E471" t="s">
        <v>465</v>
      </c>
      <c r="F471" t="str">
        <f>"201512002082"</f>
        <v>201512002082</v>
      </c>
      <c r="G471">
        <v>19.08</v>
      </c>
      <c r="H471">
        <v>0</v>
      </c>
      <c r="I471">
        <v>0</v>
      </c>
      <c r="J471">
        <v>20</v>
      </c>
      <c r="K471">
        <v>20</v>
      </c>
      <c r="L471">
        <v>7</v>
      </c>
      <c r="O471">
        <v>7</v>
      </c>
      <c r="P471">
        <v>0</v>
      </c>
      <c r="Q471">
        <v>0</v>
      </c>
      <c r="R471">
        <v>46.08</v>
      </c>
      <c r="S471">
        <v>0</v>
      </c>
      <c r="T471">
        <v>0</v>
      </c>
      <c r="U471">
        <v>0</v>
      </c>
      <c r="V471">
        <v>0</v>
      </c>
      <c r="W471" t="s">
        <v>14</v>
      </c>
      <c r="X471">
        <v>46.08</v>
      </c>
    </row>
    <row r="472" spans="1:24" ht="15">
      <c r="A472">
        <v>465</v>
      </c>
      <c r="B472">
        <v>80231</v>
      </c>
      <c r="C472" t="s">
        <v>1353</v>
      </c>
      <c r="D472" t="s">
        <v>95</v>
      </c>
      <c r="E472" t="s">
        <v>17</v>
      </c>
      <c r="F472" t="str">
        <f>"00017411"</f>
        <v>00017411</v>
      </c>
      <c r="G472">
        <v>13.93</v>
      </c>
      <c r="H472">
        <v>0</v>
      </c>
      <c r="I472">
        <v>0</v>
      </c>
      <c r="J472">
        <v>20</v>
      </c>
      <c r="K472">
        <v>20</v>
      </c>
      <c r="N472">
        <v>3</v>
      </c>
      <c r="O472">
        <v>3</v>
      </c>
      <c r="P472">
        <v>4</v>
      </c>
      <c r="Q472">
        <v>2</v>
      </c>
      <c r="R472">
        <v>42.93</v>
      </c>
      <c r="S472">
        <v>0</v>
      </c>
      <c r="T472">
        <v>0</v>
      </c>
      <c r="U472">
        <v>3</v>
      </c>
      <c r="V472">
        <v>0</v>
      </c>
      <c r="W472" t="s">
        <v>14</v>
      </c>
      <c r="X472">
        <v>45.93</v>
      </c>
    </row>
    <row r="473" spans="1:24" ht="15">
      <c r="A473">
        <v>466</v>
      </c>
      <c r="B473">
        <v>9328</v>
      </c>
      <c r="C473" t="s">
        <v>1355</v>
      </c>
      <c r="D473" t="s">
        <v>27</v>
      </c>
      <c r="E473" t="s">
        <v>21</v>
      </c>
      <c r="F473" t="str">
        <f>"00049821"</f>
        <v>00049821</v>
      </c>
      <c r="G473">
        <v>18.88</v>
      </c>
      <c r="H473">
        <v>0</v>
      </c>
      <c r="I473">
        <v>0</v>
      </c>
      <c r="J473">
        <v>20</v>
      </c>
      <c r="K473">
        <v>20</v>
      </c>
      <c r="N473">
        <v>3</v>
      </c>
      <c r="O473">
        <v>3</v>
      </c>
      <c r="P473">
        <v>4</v>
      </c>
      <c r="Q473">
        <v>0</v>
      </c>
      <c r="R473">
        <v>45.88</v>
      </c>
      <c r="S473">
        <v>0</v>
      </c>
      <c r="T473">
        <v>0</v>
      </c>
      <c r="U473">
        <v>0</v>
      </c>
      <c r="V473">
        <v>0</v>
      </c>
      <c r="W473" t="s">
        <v>14</v>
      </c>
      <c r="X473">
        <v>45.88</v>
      </c>
    </row>
    <row r="474" spans="1:24" ht="15">
      <c r="A474">
        <v>467</v>
      </c>
      <c r="B474">
        <v>3942</v>
      </c>
      <c r="C474" t="s">
        <v>1016</v>
      </c>
      <c r="D474" t="s">
        <v>46</v>
      </c>
      <c r="E474" t="s">
        <v>111</v>
      </c>
      <c r="F474" t="str">
        <f>"00017654"</f>
        <v>00017654</v>
      </c>
      <c r="G474">
        <v>15.75</v>
      </c>
      <c r="H474">
        <v>0</v>
      </c>
      <c r="I474">
        <v>0</v>
      </c>
      <c r="J474">
        <v>20</v>
      </c>
      <c r="K474">
        <v>20</v>
      </c>
      <c r="N474">
        <v>3</v>
      </c>
      <c r="O474">
        <v>3</v>
      </c>
      <c r="P474">
        <v>4</v>
      </c>
      <c r="Q474">
        <v>0</v>
      </c>
      <c r="R474">
        <v>42.75</v>
      </c>
      <c r="S474">
        <v>0</v>
      </c>
      <c r="T474">
        <v>0</v>
      </c>
      <c r="U474">
        <v>3</v>
      </c>
      <c r="V474">
        <v>0</v>
      </c>
      <c r="W474" t="s">
        <v>14</v>
      </c>
      <c r="X474">
        <v>45.75</v>
      </c>
    </row>
    <row r="475" spans="1:24" ht="15">
      <c r="A475">
        <v>468</v>
      </c>
      <c r="B475">
        <v>104240</v>
      </c>
      <c r="C475" t="s">
        <v>1359</v>
      </c>
      <c r="D475" t="s">
        <v>124</v>
      </c>
      <c r="E475" t="s">
        <v>23</v>
      </c>
      <c r="F475" t="str">
        <f>"00592164"</f>
        <v>00592164</v>
      </c>
      <c r="G475">
        <v>21.73</v>
      </c>
      <c r="H475">
        <v>0</v>
      </c>
      <c r="I475">
        <v>0</v>
      </c>
      <c r="J475">
        <v>20</v>
      </c>
      <c r="K475">
        <v>20</v>
      </c>
      <c r="O475">
        <v>0</v>
      </c>
      <c r="P475">
        <v>4</v>
      </c>
      <c r="Q475">
        <v>0</v>
      </c>
      <c r="R475">
        <v>45.73</v>
      </c>
      <c r="S475">
        <v>0</v>
      </c>
      <c r="T475">
        <v>0</v>
      </c>
      <c r="U475">
        <v>0</v>
      </c>
      <c r="V475">
        <v>0</v>
      </c>
      <c r="W475" t="s">
        <v>14</v>
      </c>
      <c r="X475">
        <v>45.73</v>
      </c>
    </row>
    <row r="476" spans="1:24" ht="15">
      <c r="A476">
        <v>469</v>
      </c>
      <c r="B476">
        <v>116148</v>
      </c>
      <c r="C476" t="s">
        <v>1362</v>
      </c>
      <c r="D476" t="s">
        <v>37</v>
      </c>
      <c r="E476" t="s">
        <v>124</v>
      </c>
      <c r="F476" t="str">
        <f>"00023470"</f>
        <v>00023470</v>
      </c>
      <c r="G476">
        <v>15.68</v>
      </c>
      <c r="H476">
        <v>0</v>
      </c>
      <c r="I476">
        <v>0</v>
      </c>
      <c r="J476">
        <v>20</v>
      </c>
      <c r="K476">
        <v>20</v>
      </c>
      <c r="O476">
        <v>0</v>
      </c>
      <c r="P476">
        <v>4</v>
      </c>
      <c r="Q476">
        <v>0</v>
      </c>
      <c r="R476">
        <v>39.68</v>
      </c>
      <c r="S476">
        <v>0</v>
      </c>
      <c r="T476">
        <v>0</v>
      </c>
      <c r="U476">
        <v>6</v>
      </c>
      <c r="V476">
        <v>0</v>
      </c>
      <c r="W476" t="s">
        <v>14</v>
      </c>
      <c r="X476">
        <v>45.68</v>
      </c>
    </row>
    <row r="477" spans="1:24" ht="15">
      <c r="A477">
        <v>470</v>
      </c>
      <c r="B477">
        <v>4751</v>
      </c>
      <c r="C477" t="s">
        <v>689</v>
      </c>
      <c r="D477" t="s">
        <v>27</v>
      </c>
      <c r="E477" t="s">
        <v>17</v>
      </c>
      <c r="F477" t="str">
        <f>"00433320"</f>
        <v>00433320</v>
      </c>
      <c r="G477">
        <v>15.68</v>
      </c>
      <c r="H477">
        <v>0</v>
      </c>
      <c r="I477">
        <v>0</v>
      </c>
      <c r="J477">
        <v>20</v>
      </c>
      <c r="K477">
        <v>20</v>
      </c>
      <c r="N477">
        <v>3</v>
      </c>
      <c r="O477">
        <v>3</v>
      </c>
      <c r="P477">
        <v>4</v>
      </c>
      <c r="Q477">
        <v>0</v>
      </c>
      <c r="R477">
        <v>42.68</v>
      </c>
      <c r="S477">
        <v>0</v>
      </c>
      <c r="T477">
        <v>0</v>
      </c>
      <c r="U477">
        <v>3</v>
      </c>
      <c r="V477">
        <v>0</v>
      </c>
      <c r="W477" t="s">
        <v>14</v>
      </c>
      <c r="X477">
        <v>45.68</v>
      </c>
    </row>
    <row r="478" spans="1:24" ht="15">
      <c r="A478">
        <v>471</v>
      </c>
      <c r="B478">
        <v>54678</v>
      </c>
      <c r="C478" t="s">
        <v>1364</v>
      </c>
      <c r="D478" t="s">
        <v>1146</v>
      </c>
      <c r="E478" t="s">
        <v>17</v>
      </c>
      <c r="F478" t="str">
        <f>"00104416"</f>
        <v>00104416</v>
      </c>
      <c r="G478">
        <v>15.55</v>
      </c>
      <c r="H478">
        <v>0</v>
      </c>
      <c r="I478">
        <v>0</v>
      </c>
      <c r="J478">
        <v>20</v>
      </c>
      <c r="K478">
        <v>20</v>
      </c>
      <c r="N478">
        <v>3</v>
      </c>
      <c r="O478">
        <v>3</v>
      </c>
      <c r="P478">
        <v>4</v>
      </c>
      <c r="Q478">
        <v>0</v>
      </c>
      <c r="R478">
        <v>42.55</v>
      </c>
      <c r="S478">
        <v>0</v>
      </c>
      <c r="T478">
        <v>0</v>
      </c>
      <c r="U478">
        <v>3</v>
      </c>
      <c r="V478">
        <v>0</v>
      </c>
      <c r="W478" t="s">
        <v>14</v>
      </c>
      <c r="X478">
        <v>45.55</v>
      </c>
    </row>
    <row r="479" spans="1:24" ht="15">
      <c r="A479">
        <v>472</v>
      </c>
      <c r="B479">
        <v>115323</v>
      </c>
      <c r="C479" t="s">
        <v>1365</v>
      </c>
      <c r="D479" t="s">
        <v>75</v>
      </c>
      <c r="E479" t="s">
        <v>21</v>
      </c>
      <c r="F479" t="str">
        <f>"201412002922"</f>
        <v>201412002922</v>
      </c>
      <c r="G479">
        <v>18.53</v>
      </c>
      <c r="H479">
        <v>0</v>
      </c>
      <c r="I479">
        <v>0</v>
      </c>
      <c r="J479">
        <v>20</v>
      </c>
      <c r="K479">
        <v>20</v>
      </c>
      <c r="N479">
        <v>3</v>
      </c>
      <c r="O479">
        <v>3</v>
      </c>
      <c r="P479">
        <v>4</v>
      </c>
      <c r="Q479">
        <v>0</v>
      </c>
      <c r="R479">
        <v>45.53</v>
      </c>
      <c r="S479">
        <v>0</v>
      </c>
      <c r="T479">
        <v>0</v>
      </c>
      <c r="U479">
        <v>0</v>
      </c>
      <c r="V479">
        <v>0</v>
      </c>
      <c r="W479" t="s">
        <v>14</v>
      </c>
      <c r="X479">
        <v>45.53</v>
      </c>
    </row>
    <row r="480" spans="1:24" ht="15">
      <c r="A480">
        <v>473</v>
      </c>
      <c r="B480">
        <v>34906</v>
      </c>
      <c r="C480" t="s">
        <v>1366</v>
      </c>
      <c r="D480" t="s">
        <v>372</v>
      </c>
      <c r="E480" t="s">
        <v>53</v>
      </c>
      <c r="F480" t="str">
        <f>"201402010055"</f>
        <v>201402010055</v>
      </c>
      <c r="G480">
        <v>18.5</v>
      </c>
      <c r="H480">
        <v>0</v>
      </c>
      <c r="I480">
        <v>0</v>
      </c>
      <c r="J480">
        <v>20</v>
      </c>
      <c r="K480">
        <v>20</v>
      </c>
      <c r="N480">
        <v>3</v>
      </c>
      <c r="O480">
        <v>3</v>
      </c>
      <c r="P480">
        <v>4</v>
      </c>
      <c r="Q480">
        <v>0</v>
      </c>
      <c r="R480">
        <v>45.5</v>
      </c>
      <c r="S480">
        <v>0</v>
      </c>
      <c r="T480">
        <v>0</v>
      </c>
      <c r="U480">
        <v>0</v>
      </c>
      <c r="V480">
        <v>0</v>
      </c>
      <c r="W480" t="s">
        <v>14</v>
      </c>
      <c r="X480">
        <v>45.5</v>
      </c>
    </row>
    <row r="481" spans="1:24" ht="15">
      <c r="A481">
        <v>474</v>
      </c>
      <c r="B481">
        <v>831</v>
      </c>
      <c r="C481" t="s">
        <v>1372</v>
      </c>
      <c r="D481" t="s">
        <v>69</v>
      </c>
      <c r="E481" t="s">
        <v>587</v>
      </c>
      <c r="F481" t="str">
        <f>"00251506"</f>
        <v>00251506</v>
      </c>
      <c r="G481">
        <v>19.13</v>
      </c>
      <c r="H481">
        <v>7</v>
      </c>
      <c r="I481">
        <v>0</v>
      </c>
      <c r="J481">
        <v>0</v>
      </c>
      <c r="K481">
        <v>0</v>
      </c>
      <c r="L481">
        <v>7</v>
      </c>
      <c r="O481">
        <v>7</v>
      </c>
      <c r="P481">
        <v>4</v>
      </c>
      <c r="Q481">
        <v>2</v>
      </c>
      <c r="R481">
        <v>39.13</v>
      </c>
      <c r="S481">
        <v>0</v>
      </c>
      <c r="T481">
        <v>0</v>
      </c>
      <c r="U481">
        <v>6</v>
      </c>
      <c r="V481">
        <v>0</v>
      </c>
      <c r="W481" t="s">
        <v>14</v>
      </c>
      <c r="X481">
        <v>45.13</v>
      </c>
    </row>
    <row r="482" spans="1:24" ht="15">
      <c r="A482">
        <v>475</v>
      </c>
      <c r="B482">
        <v>94720</v>
      </c>
      <c r="C482" t="s">
        <v>1373</v>
      </c>
      <c r="D482" t="s">
        <v>316</v>
      </c>
      <c r="E482" t="s">
        <v>120</v>
      </c>
      <c r="F482" t="str">
        <f>"00640303"</f>
        <v>00640303</v>
      </c>
      <c r="G482">
        <v>15.08</v>
      </c>
      <c r="H482">
        <v>0</v>
      </c>
      <c r="I482">
        <v>0</v>
      </c>
      <c r="J482">
        <v>20</v>
      </c>
      <c r="K482">
        <v>20</v>
      </c>
      <c r="O482">
        <v>0</v>
      </c>
      <c r="P482">
        <v>4</v>
      </c>
      <c r="Q482">
        <v>0</v>
      </c>
      <c r="R482">
        <v>39.08</v>
      </c>
      <c r="S482">
        <v>0</v>
      </c>
      <c r="T482">
        <v>0</v>
      </c>
      <c r="U482">
        <v>6</v>
      </c>
      <c r="V482">
        <v>0</v>
      </c>
      <c r="W482" t="s">
        <v>14</v>
      </c>
      <c r="X482">
        <v>45.08</v>
      </c>
    </row>
    <row r="483" spans="1:24" ht="15">
      <c r="A483">
        <v>476</v>
      </c>
      <c r="B483">
        <v>96520</v>
      </c>
      <c r="C483" t="s">
        <v>307</v>
      </c>
      <c r="D483" t="s">
        <v>236</v>
      </c>
      <c r="E483" t="s">
        <v>27</v>
      </c>
      <c r="F483" t="str">
        <f>"00641113"</f>
        <v>00641113</v>
      </c>
      <c r="G483">
        <v>20</v>
      </c>
      <c r="H483">
        <v>7</v>
      </c>
      <c r="I483">
        <v>0</v>
      </c>
      <c r="J483">
        <v>0</v>
      </c>
      <c r="K483">
        <v>0</v>
      </c>
      <c r="N483">
        <v>3</v>
      </c>
      <c r="O483">
        <v>3</v>
      </c>
      <c r="P483">
        <v>4</v>
      </c>
      <c r="Q483">
        <v>0</v>
      </c>
      <c r="R483">
        <v>34</v>
      </c>
      <c r="S483">
        <v>11</v>
      </c>
      <c r="T483">
        <v>11</v>
      </c>
      <c r="U483">
        <v>0</v>
      </c>
      <c r="V483">
        <v>0</v>
      </c>
      <c r="W483" t="s">
        <v>14</v>
      </c>
      <c r="X483">
        <v>45</v>
      </c>
    </row>
    <row r="484" spans="1:24" ht="15">
      <c r="A484">
        <v>477</v>
      </c>
      <c r="B484">
        <v>101380</v>
      </c>
      <c r="C484" t="s">
        <v>1376</v>
      </c>
      <c r="D484" t="s">
        <v>873</v>
      </c>
      <c r="E484" t="s">
        <v>27</v>
      </c>
      <c r="F484" t="str">
        <f>"200810000160"</f>
        <v>200810000160</v>
      </c>
      <c r="G484">
        <v>18.9</v>
      </c>
      <c r="H484">
        <v>0</v>
      </c>
      <c r="I484">
        <v>0</v>
      </c>
      <c r="J484">
        <v>0</v>
      </c>
      <c r="K484">
        <v>0</v>
      </c>
      <c r="N484">
        <v>3</v>
      </c>
      <c r="O484">
        <v>3</v>
      </c>
      <c r="P484">
        <v>4</v>
      </c>
      <c r="Q484">
        <v>0</v>
      </c>
      <c r="R484">
        <v>25.9</v>
      </c>
      <c r="S484">
        <v>13</v>
      </c>
      <c r="T484">
        <v>13</v>
      </c>
      <c r="U484">
        <v>6</v>
      </c>
      <c r="V484">
        <v>0</v>
      </c>
      <c r="W484" t="s">
        <v>14</v>
      </c>
      <c r="X484">
        <v>44.9</v>
      </c>
    </row>
    <row r="485" spans="1:24" ht="15">
      <c r="A485">
        <v>478</v>
      </c>
      <c r="B485">
        <v>65075</v>
      </c>
      <c r="C485" t="s">
        <v>1377</v>
      </c>
      <c r="D485" t="s">
        <v>16</v>
      </c>
      <c r="E485" t="s">
        <v>20</v>
      </c>
      <c r="F485" t="str">
        <f>"201409003242"</f>
        <v>201409003242</v>
      </c>
      <c r="G485">
        <v>15.88</v>
      </c>
      <c r="H485">
        <v>0</v>
      </c>
      <c r="I485">
        <v>0</v>
      </c>
      <c r="J485">
        <v>20</v>
      </c>
      <c r="K485">
        <v>20</v>
      </c>
      <c r="M485">
        <v>5</v>
      </c>
      <c r="O485">
        <v>5</v>
      </c>
      <c r="P485">
        <v>4</v>
      </c>
      <c r="Q485">
        <v>0</v>
      </c>
      <c r="R485">
        <v>44.88</v>
      </c>
      <c r="S485">
        <v>0</v>
      </c>
      <c r="T485">
        <v>0</v>
      </c>
      <c r="U485">
        <v>0</v>
      </c>
      <c r="V485">
        <v>0</v>
      </c>
      <c r="W485" t="s">
        <v>14</v>
      </c>
      <c r="X485">
        <v>44.88</v>
      </c>
    </row>
    <row r="486" spans="1:24" ht="15">
      <c r="A486">
        <v>479</v>
      </c>
      <c r="B486">
        <v>59390</v>
      </c>
      <c r="C486" t="s">
        <v>723</v>
      </c>
      <c r="D486" t="s">
        <v>201</v>
      </c>
      <c r="E486" t="s">
        <v>124</v>
      </c>
      <c r="F486" t="str">
        <f>"201406011549"</f>
        <v>201406011549</v>
      </c>
      <c r="G486">
        <v>15.83</v>
      </c>
      <c r="H486">
        <v>0</v>
      </c>
      <c r="I486">
        <v>0</v>
      </c>
      <c r="J486">
        <v>20</v>
      </c>
      <c r="K486">
        <v>20</v>
      </c>
      <c r="N486">
        <v>3</v>
      </c>
      <c r="O486">
        <v>3</v>
      </c>
      <c r="P486">
        <v>4</v>
      </c>
      <c r="Q486">
        <v>2</v>
      </c>
      <c r="R486">
        <v>44.83</v>
      </c>
      <c r="S486">
        <v>0</v>
      </c>
      <c r="T486">
        <v>0</v>
      </c>
      <c r="U486">
        <v>0</v>
      </c>
      <c r="V486">
        <v>0</v>
      </c>
      <c r="W486" t="s">
        <v>14</v>
      </c>
      <c r="X486">
        <v>44.83</v>
      </c>
    </row>
    <row r="487" spans="1:24" ht="15">
      <c r="A487">
        <v>480</v>
      </c>
      <c r="B487">
        <v>100312</v>
      </c>
      <c r="C487" t="s">
        <v>1383</v>
      </c>
      <c r="D487" t="s">
        <v>12</v>
      </c>
      <c r="E487" t="s">
        <v>53</v>
      </c>
      <c r="F487" t="str">
        <f>"00431497"</f>
        <v>00431497</v>
      </c>
      <c r="G487">
        <v>17.58</v>
      </c>
      <c r="H487">
        <v>0</v>
      </c>
      <c r="I487">
        <v>0</v>
      </c>
      <c r="J487">
        <v>20</v>
      </c>
      <c r="K487">
        <v>20</v>
      </c>
      <c r="N487">
        <v>3</v>
      </c>
      <c r="O487">
        <v>3</v>
      </c>
      <c r="P487">
        <v>4</v>
      </c>
      <c r="Q487">
        <v>0</v>
      </c>
      <c r="R487">
        <v>44.58</v>
      </c>
      <c r="S487">
        <v>0</v>
      </c>
      <c r="T487">
        <v>0</v>
      </c>
      <c r="U487">
        <v>0</v>
      </c>
      <c r="V487">
        <v>0</v>
      </c>
      <c r="W487" t="s">
        <v>14</v>
      </c>
      <c r="X487">
        <v>44.58</v>
      </c>
    </row>
    <row r="488" spans="1:24" ht="15">
      <c r="A488">
        <v>481</v>
      </c>
      <c r="B488">
        <v>87403</v>
      </c>
      <c r="C488" t="s">
        <v>1386</v>
      </c>
      <c r="D488" t="s">
        <v>253</v>
      </c>
      <c r="E488" t="s">
        <v>80</v>
      </c>
      <c r="F488" t="str">
        <f>"00557268"</f>
        <v>00557268</v>
      </c>
      <c r="G488">
        <v>17.5</v>
      </c>
      <c r="H488">
        <v>0</v>
      </c>
      <c r="I488">
        <v>0</v>
      </c>
      <c r="J488">
        <v>20</v>
      </c>
      <c r="K488">
        <v>20</v>
      </c>
      <c r="N488">
        <v>3</v>
      </c>
      <c r="O488">
        <v>3</v>
      </c>
      <c r="P488">
        <v>4</v>
      </c>
      <c r="Q488">
        <v>0</v>
      </c>
      <c r="R488">
        <v>44.5</v>
      </c>
      <c r="S488">
        <v>0</v>
      </c>
      <c r="T488">
        <v>0</v>
      </c>
      <c r="U488">
        <v>0</v>
      </c>
      <c r="V488">
        <v>0</v>
      </c>
      <c r="W488" t="s">
        <v>14</v>
      </c>
      <c r="X488">
        <v>44.5</v>
      </c>
    </row>
    <row r="489" spans="1:24" ht="15">
      <c r="A489">
        <v>482</v>
      </c>
      <c r="B489">
        <v>23944</v>
      </c>
      <c r="C489" t="s">
        <v>1387</v>
      </c>
      <c r="D489" t="s">
        <v>122</v>
      </c>
      <c r="E489" t="s">
        <v>21</v>
      </c>
      <c r="F489" t="str">
        <f>"00208605"</f>
        <v>00208605</v>
      </c>
      <c r="G489">
        <v>17.43</v>
      </c>
      <c r="H489">
        <v>0</v>
      </c>
      <c r="I489">
        <v>0</v>
      </c>
      <c r="J489">
        <v>20</v>
      </c>
      <c r="K489">
        <v>20</v>
      </c>
      <c r="N489">
        <v>3</v>
      </c>
      <c r="O489">
        <v>3</v>
      </c>
      <c r="P489">
        <v>4</v>
      </c>
      <c r="Q489">
        <v>0</v>
      </c>
      <c r="R489">
        <v>44.43</v>
      </c>
      <c r="S489">
        <v>0</v>
      </c>
      <c r="T489">
        <v>0</v>
      </c>
      <c r="U489">
        <v>0</v>
      </c>
      <c r="V489">
        <v>0</v>
      </c>
      <c r="W489" t="s">
        <v>14</v>
      </c>
      <c r="X489">
        <v>44.43</v>
      </c>
    </row>
    <row r="490" spans="1:24" ht="15">
      <c r="A490">
        <v>483</v>
      </c>
      <c r="B490">
        <v>35242</v>
      </c>
      <c r="C490" t="s">
        <v>1395</v>
      </c>
      <c r="D490" t="s">
        <v>372</v>
      </c>
      <c r="E490" t="s">
        <v>109</v>
      </c>
      <c r="F490" t="str">
        <f>"00522047"</f>
        <v>00522047</v>
      </c>
      <c r="G490">
        <v>17.05</v>
      </c>
      <c r="H490">
        <v>0</v>
      </c>
      <c r="I490">
        <v>0</v>
      </c>
      <c r="J490">
        <v>20</v>
      </c>
      <c r="K490">
        <v>20</v>
      </c>
      <c r="N490">
        <v>3</v>
      </c>
      <c r="O490">
        <v>3</v>
      </c>
      <c r="P490">
        <v>4</v>
      </c>
      <c r="Q490">
        <v>0</v>
      </c>
      <c r="R490">
        <v>44.05</v>
      </c>
      <c r="S490">
        <v>0</v>
      </c>
      <c r="T490">
        <v>0</v>
      </c>
      <c r="U490">
        <v>0</v>
      </c>
      <c r="V490">
        <v>0</v>
      </c>
      <c r="W490" t="s">
        <v>14</v>
      </c>
      <c r="X490">
        <v>44.05</v>
      </c>
    </row>
    <row r="491" spans="1:24" ht="15">
      <c r="A491">
        <v>484</v>
      </c>
      <c r="B491">
        <v>114025</v>
      </c>
      <c r="C491" t="s">
        <v>723</v>
      </c>
      <c r="D491" t="s">
        <v>27</v>
      </c>
      <c r="E491" t="s">
        <v>124</v>
      </c>
      <c r="F491" t="str">
        <f>"200808000308"</f>
        <v>200808000308</v>
      </c>
      <c r="G491">
        <v>18.95</v>
      </c>
      <c r="H491">
        <v>0</v>
      </c>
      <c r="I491">
        <v>0</v>
      </c>
      <c r="J491">
        <v>0</v>
      </c>
      <c r="K491">
        <v>0</v>
      </c>
      <c r="O491">
        <v>0</v>
      </c>
      <c r="P491">
        <v>4</v>
      </c>
      <c r="Q491">
        <v>0</v>
      </c>
      <c r="R491">
        <v>22.95</v>
      </c>
      <c r="S491">
        <v>18</v>
      </c>
      <c r="T491">
        <v>18</v>
      </c>
      <c r="U491">
        <v>3</v>
      </c>
      <c r="V491">
        <v>0</v>
      </c>
      <c r="W491" t="s">
        <v>14</v>
      </c>
      <c r="X491">
        <v>43.95</v>
      </c>
    </row>
    <row r="492" spans="1:24" ht="15">
      <c r="A492">
        <v>485</v>
      </c>
      <c r="B492">
        <v>108247</v>
      </c>
      <c r="C492" t="s">
        <v>1400</v>
      </c>
      <c r="D492" t="s">
        <v>1401</v>
      </c>
      <c r="E492" t="s">
        <v>91</v>
      </c>
      <c r="F492" t="str">
        <f>"200801003703"</f>
        <v>200801003703</v>
      </c>
      <c r="G492">
        <v>16.85</v>
      </c>
      <c r="H492">
        <v>0</v>
      </c>
      <c r="I492">
        <v>0</v>
      </c>
      <c r="J492">
        <v>20</v>
      </c>
      <c r="K492">
        <v>20</v>
      </c>
      <c r="N492">
        <v>3</v>
      </c>
      <c r="O492">
        <v>3</v>
      </c>
      <c r="P492">
        <v>4</v>
      </c>
      <c r="Q492">
        <v>0</v>
      </c>
      <c r="R492">
        <v>43.85</v>
      </c>
      <c r="S492">
        <v>0</v>
      </c>
      <c r="T492">
        <v>0</v>
      </c>
      <c r="U492">
        <v>0</v>
      </c>
      <c r="V492">
        <v>0</v>
      </c>
      <c r="W492" t="s">
        <v>14</v>
      </c>
      <c r="X492">
        <v>43.85</v>
      </c>
    </row>
    <row r="493" spans="1:24" ht="15">
      <c r="A493">
        <v>486</v>
      </c>
      <c r="B493">
        <v>103219</v>
      </c>
      <c r="C493" t="s">
        <v>1403</v>
      </c>
      <c r="D493" t="s">
        <v>407</v>
      </c>
      <c r="E493" t="s">
        <v>158</v>
      </c>
      <c r="F493" t="str">
        <f>"00597380"</f>
        <v>00597380</v>
      </c>
      <c r="G493">
        <v>16.7</v>
      </c>
      <c r="H493">
        <v>0</v>
      </c>
      <c r="I493">
        <v>0</v>
      </c>
      <c r="J493">
        <v>0</v>
      </c>
      <c r="K493">
        <v>0</v>
      </c>
      <c r="L493">
        <v>7</v>
      </c>
      <c r="O493">
        <v>7</v>
      </c>
      <c r="P493">
        <v>4</v>
      </c>
      <c r="Q493">
        <v>2</v>
      </c>
      <c r="R493">
        <v>29.7</v>
      </c>
      <c r="S493">
        <v>8</v>
      </c>
      <c r="T493">
        <v>8</v>
      </c>
      <c r="U493">
        <v>6</v>
      </c>
      <c r="V493">
        <v>0</v>
      </c>
      <c r="W493" t="s">
        <v>14</v>
      </c>
      <c r="X493">
        <v>43.7</v>
      </c>
    </row>
    <row r="494" spans="1:24" ht="15">
      <c r="A494">
        <v>487</v>
      </c>
      <c r="B494">
        <v>5199</v>
      </c>
      <c r="C494" t="s">
        <v>1404</v>
      </c>
      <c r="D494" t="s">
        <v>1405</v>
      </c>
      <c r="E494" t="s">
        <v>201</v>
      </c>
      <c r="F494" t="str">
        <f>"00557337"</f>
        <v>00557337</v>
      </c>
      <c r="G494">
        <v>16.6</v>
      </c>
      <c r="H494">
        <v>0</v>
      </c>
      <c r="I494">
        <v>0</v>
      </c>
      <c r="J494">
        <v>20</v>
      </c>
      <c r="K494">
        <v>20</v>
      </c>
      <c r="N494">
        <v>3</v>
      </c>
      <c r="O494">
        <v>3</v>
      </c>
      <c r="P494">
        <v>4</v>
      </c>
      <c r="Q494">
        <v>0</v>
      </c>
      <c r="R494">
        <v>43.6</v>
      </c>
      <c r="S494">
        <v>0</v>
      </c>
      <c r="T494">
        <v>0</v>
      </c>
      <c r="U494">
        <v>0</v>
      </c>
      <c r="V494">
        <v>0</v>
      </c>
      <c r="W494" t="s">
        <v>14</v>
      </c>
      <c r="X494">
        <v>43.6</v>
      </c>
    </row>
    <row r="495" spans="1:24" ht="15">
      <c r="A495">
        <v>488</v>
      </c>
      <c r="B495">
        <v>53535</v>
      </c>
      <c r="C495" t="s">
        <v>1408</v>
      </c>
      <c r="D495" t="s">
        <v>1409</v>
      </c>
      <c r="E495" t="s">
        <v>1410</v>
      </c>
      <c r="F495" t="str">
        <f>"00603988"</f>
        <v>00603988</v>
      </c>
      <c r="G495">
        <v>16.48</v>
      </c>
      <c r="H495">
        <v>0</v>
      </c>
      <c r="I495">
        <v>0</v>
      </c>
      <c r="J495">
        <v>0</v>
      </c>
      <c r="K495">
        <v>0</v>
      </c>
      <c r="N495">
        <v>6</v>
      </c>
      <c r="O495">
        <v>6</v>
      </c>
      <c r="P495">
        <v>0</v>
      </c>
      <c r="Q495">
        <v>0</v>
      </c>
      <c r="R495">
        <v>22.48</v>
      </c>
      <c r="S495">
        <v>21</v>
      </c>
      <c r="T495">
        <v>21</v>
      </c>
      <c r="U495">
        <v>0</v>
      </c>
      <c r="V495">
        <v>0</v>
      </c>
      <c r="W495" t="s">
        <v>14</v>
      </c>
      <c r="X495">
        <v>43.48</v>
      </c>
    </row>
    <row r="496" spans="1:24" ht="15">
      <c r="A496">
        <v>489</v>
      </c>
      <c r="B496">
        <v>23457</v>
      </c>
      <c r="C496" t="s">
        <v>1411</v>
      </c>
      <c r="D496" t="s">
        <v>1174</v>
      </c>
      <c r="E496" t="s">
        <v>23</v>
      </c>
      <c r="F496" t="str">
        <f>"200802007947"</f>
        <v>200802007947</v>
      </c>
      <c r="G496">
        <v>16.38</v>
      </c>
      <c r="H496">
        <v>0</v>
      </c>
      <c r="I496">
        <v>0</v>
      </c>
      <c r="J496">
        <v>20</v>
      </c>
      <c r="K496">
        <v>20</v>
      </c>
      <c r="O496">
        <v>0</v>
      </c>
      <c r="P496">
        <v>4</v>
      </c>
      <c r="Q496">
        <v>0</v>
      </c>
      <c r="R496">
        <v>40.38</v>
      </c>
      <c r="S496">
        <v>0</v>
      </c>
      <c r="T496">
        <v>0</v>
      </c>
      <c r="U496">
        <v>3</v>
      </c>
      <c r="V496">
        <v>0</v>
      </c>
      <c r="W496" t="s">
        <v>14</v>
      </c>
      <c r="X496">
        <v>43.38</v>
      </c>
    </row>
    <row r="497" spans="1:24" ht="15">
      <c r="A497">
        <v>490</v>
      </c>
      <c r="B497">
        <v>4206</v>
      </c>
      <c r="C497" t="s">
        <v>1412</v>
      </c>
      <c r="D497" t="s">
        <v>21</v>
      </c>
      <c r="E497" t="s">
        <v>80</v>
      </c>
      <c r="F497" t="str">
        <f>"201409007136"</f>
        <v>201409007136</v>
      </c>
      <c r="G497">
        <v>16.38</v>
      </c>
      <c r="H497">
        <v>0</v>
      </c>
      <c r="I497">
        <v>0</v>
      </c>
      <c r="J497">
        <v>20</v>
      </c>
      <c r="K497">
        <v>20</v>
      </c>
      <c r="N497">
        <v>3</v>
      </c>
      <c r="O497">
        <v>3</v>
      </c>
      <c r="P497">
        <v>4</v>
      </c>
      <c r="Q497">
        <v>0</v>
      </c>
      <c r="R497">
        <v>43.38</v>
      </c>
      <c r="S497">
        <v>0</v>
      </c>
      <c r="T497">
        <v>0</v>
      </c>
      <c r="U497">
        <v>0</v>
      </c>
      <c r="V497">
        <v>0</v>
      </c>
      <c r="W497" t="s">
        <v>14</v>
      </c>
      <c r="X497">
        <v>43.38</v>
      </c>
    </row>
    <row r="498" spans="1:24" ht="15">
      <c r="A498">
        <v>491</v>
      </c>
      <c r="B498">
        <v>107767</v>
      </c>
      <c r="C498" t="s">
        <v>1413</v>
      </c>
      <c r="D498" t="s">
        <v>1124</v>
      </c>
      <c r="E498" t="s">
        <v>465</v>
      </c>
      <c r="F498" t="str">
        <f>"00220265"</f>
        <v>00220265</v>
      </c>
      <c r="G498">
        <v>16.33</v>
      </c>
      <c r="H498">
        <v>0</v>
      </c>
      <c r="I498">
        <v>0</v>
      </c>
      <c r="J498">
        <v>20</v>
      </c>
      <c r="K498">
        <v>20</v>
      </c>
      <c r="N498">
        <v>3</v>
      </c>
      <c r="O498">
        <v>3</v>
      </c>
      <c r="P498">
        <v>4</v>
      </c>
      <c r="Q498">
        <v>0</v>
      </c>
      <c r="R498">
        <v>43.33</v>
      </c>
      <c r="S498">
        <v>0</v>
      </c>
      <c r="T498">
        <v>0</v>
      </c>
      <c r="U498">
        <v>0</v>
      </c>
      <c r="V498">
        <v>0</v>
      </c>
      <c r="W498" t="s">
        <v>14</v>
      </c>
      <c r="X498">
        <v>43.33</v>
      </c>
    </row>
    <row r="499" spans="1:24" ht="15">
      <c r="A499">
        <v>492</v>
      </c>
      <c r="B499">
        <v>32459</v>
      </c>
      <c r="C499" t="s">
        <v>1419</v>
      </c>
      <c r="D499" t="s">
        <v>1420</v>
      </c>
      <c r="E499" t="s">
        <v>17</v>
      </c>
      <c r="F499" t="str">
        <f>"00276093"</f>
        <v>00276093</v>
      </c>
      <c r="G499">
        <v>16.13</v>
      </c>
      <c r="H499">
        <v>0</v>
      </c>
      <c r="I499">
        <v>0</v>
      </c>
      <c r="J499">
        <v>20</v>
      </c>
      <c r="K499">
        <v>20</v>
      </c>
      <c r="N499">
        <v>3</v>
      </c>
      <c r="O499">
        <v>3</v>
      </c>
      <c r="P499">
        <v>4</v>
      </c>
      <c r="Q499">
        <v>0</v>
      </c>
      <c r="R499">
        <v>43.13</v>
      </c>
      <c r="S499">
        <v>0</v>
      </c>
      <c r="T499">
        <v>0</v>
      </c>
      <c r="U499">
        <v>0</v>
      </c>
      <c r="V499">
        <v>0</v>
      </c>
      <c r="W499" t="s">
        <v>14</v>
      </c>
      <c r="X499">
        <v>43.13</v>
      </c>
    </row>
    <row r="500" spans="1:24" ht="15">
      <c r="A500">
        <v>493</v>
      </c>
      <c r="B500">
        <v>63630</v>
      </c>
      <c r="C500" t="s">
        <v>1421</v>
      </c>
      <c r="D500" t="s">
        <v>454</v>
      </c>
      <c r="E500" t="s">
        <v>360</v>
      </c>
      <c r="F500" t="str">
        <f>"00218795"</f>
        <v>00218795</v>
      </c>
      <c r="G500">
        <v>16.1</v>
      </c>
      <c r="H500">
        <v>0</v>
      </c>
      <c r="I500">
        <v>0</v>
      </c>
      <c r="J500">
        <v>20</v>
      </c>
      <c r="K500">
        <v>20</v>
      </c>
      <c r="N500">
        <v>3</v>
      </c>
      <c r="O500">
        <v>3</v>
      </c>
      <c r="P500">
        <v>4</v>
      </c>
      <c r="Q500">
        <v>0</v>
      </c>
      <c r="R500">
        <v>43.1</v>
      </c>
      <c r="S500">
        <v>0</v>
      </c>
      <c r="T500">
        <v>0</v>
      </c>
      <c r="U500">
        <v>0</v>
      </c>
      <c r="V500">
        <v>0</v>
      </c>
      <c r="W500" t="s">
        <v>14</v>
      </c>
      <c r="X500">
        <v>43.1</v>
      </c>
    </row>
    <row r="501" spans="1:24" ht="15">
      <c r="A501">
        <v>494</v>
      </c>
      <c r="B501">
        <v>70228</v>
      </c>
      <c r="C501" t="s">
        <v>1071</v>
      </c>
      <c r="D501" t="s">
        <v>1423</v>
      </c>
      <c r="E501" t="s">
        <v>124</v>
      </c>
      <c r="F501" t="str">
        <f>"201402002810"</f>
        <v>201402002810</v>
      </c>
      <c r="G501">
        <v>14</v>
      </c>
      <c r="H501">
        <v>0</v>
      </c>
      <c r="I501">
        <v>0</v>
      </c>
      <c r="J501">
        <v>20</v>
      </c>
      <c r="K501">
        <v>20</v>
      </c>
      <c r="N501">
        <v>3</v>
      </c>
      <c r="O501">
        <v>3</v>
      </c>
      <c r="P501">
        <v>4</v>
      </c>
      <c r="Q501">
        <v>2</v>
      </c>
      <c r="R501">
        <v>43</v>
      </c>
      <c r="S501">
        <v>0</v>
      </c>
      <c r="T501">
        <v>0</v>
      </c>
      <c r="U501">
        <v>0</v>
      </c>
      <c r="V501">
        <v>0</v>
      </c>
      <c r="W501" t="s">
        <v>14</v>
      </c>
      <c r="X501">
        <v>43</v>
      </c>
    </row>
    <row r="502" spans="1:24" ht="15">
      <c r="A502">
        <v>495</v>
      </c>
      <c r="B502">
        <v>97417</v>
      </c>
      <c r="C502" t="s">
        <v>1425</v>
      </c>
      <c r="D502" t="s">
        <v>1426</v>
      </c>
      <c r="E502" t="s">
        <v>12</v>
      </c>
      <c r="F502" t="str">
        <f>"00633859"</f>
        <v>00633859</v>
      </c>
      <c r="G502">
        <v>15.68</v>
      </c>
      <c r="H502">
        <v>0</v>
      </c>
      <c r="I502">
        <v>0</v>
      </c>
      <c r="J502">
        <v>20</v>
      </c>
      <c r="K502">
        <v>20</v>
      </c>
      <c r="N502">
        <v>3</v>
      </c>
      <c r="O502">
        <v>3</v>
      </c>
      <c r="P502">
        <v>4</v>
      </c>
      <c r="Q502">
        <v>0</v>
      </c>
      <c r="R502">
        <v>42.68</v>
      </c>
      <c r="S502">
        <v>0</v>
      </c>
      <c r="T502">
        <v>0</v>
      </c>
      <c r="U502">
        <v>0</v>
      </c>
      <c r="V502">
        <v>0</v>
      </c>
      <c r="W502" t="s">
        <v>14</v>
      </c>
      <c r="X502">
        <v>42.68</v>
      </c>
    </row>
    <row r="503" spans="1:24" ht="15">
      <c r="A503">
        <v>496</v>
      </c>
      <c r="B503">
        <v>99816</v>
      </c>
      <c r="C503" t="s">
        <v>1433</v>
      </c>
      <c r="D503" t="s">
        <v>1434</v>
      </c>
      <c r="E503" t="s">
        <v>120</v>
      </c>
      <c r="F503" t="str">
        <f>"00432120"</f>
        <v>00432120</v>
      </c>
      <c r="G503">
        <v>18.43</v>
      </c>
      <c r="H503">
        <v>0</v>
      </c>
      <c r="I503">
        <v>0</v>
      </c>
      <c r="J503">
        <v>20</v>
      </c>
      <c r="K503">
        <v>20</v>
      </c>
      <c r="O503">
        <v>0</v>
      </c>
      <c r="P503">
        <v>4</v>
      </c>
      <c r="Q503">
        <v>0</v>
      </c>
      <c r="R503">
        <v>42.43</v>
      </c>
      <c r="S503">
        <v>0</v>
      </c>
      <c r="T503">
        <v>0</v>
      </c>
      <c r="U503">
        <v>0</v>
      </c>
      <c r="V503">
        <v>0</v>
      </c>
      <c r="W503" t="s">
        <v>14</v>
      </c>
      <c r="X503">
        <v>42.43</v>
      </c>
    </row>
    <row r="504" spans="1:24" ht="15">
      <c r="A504">
        <v>497</v>
      </c>
      <c r="B504">
        <v>69786</v>
      </c>
      <c r="C504" t="s">
        <v>1437</v>
      </c>
      <c r="D504" t="s">
        <v>360</v>
      </c>
      <c r="E504" t="s">
        <v>21</v>
      </c>
      <c r="F504" t="str">
        <f>"00542296"</f>
        <v>00542296</v>
      </c>
      <c r="G504">
        <v>18.1</v>
      </c>
      <c r="H504">
        <v>0</v>
      </c>
      <c r="I504">
        <v>0</v>
      </c>
      <c r="J504">
        <v>20</v>
      </c>
      <c r="K504">
        <v>20</v>
      </c>
      <c r="O504">
        <v>0</v>
      </c>
      <c r="P504">
        <v>4</v>
      </c>
      <c r="Q504">
        <v>0</v>
      </c>
      <c r="R504">
        <v>42.1</v>
      </c>
      <c r="S504">
        <v>0</v>
      </c>
      <c r="T504">
        <v>0</v>
      </c>
      <c r="U504">
        <v>0</v>
      </c>
      <c r="V504">
        <v>0</v>
      </c>
      <c r="W504" t="s">
        <v>14</v>
      </c>
      <c r="X504">
        <v>42.1</v>
      </c>
    </row>
    <row r="505" spans="1:24" ht="15">
      <c r="A505">
        <v>498</v>
      </c>
      <c r="B505">
        <v>44323</v>
      </c>
      <c r="C505" t="s">
        <v>1438</v>
      </c>
      <c r="D505" t="s">
        <v>60</v>
      </c>
      <c r="E505" t="s">
        <v>141</v>
      </c>
      <c r="F505" t="str">
        <f>"00286766"</f>
        <v>00286766</v>
      </c>
      <c r="G505">
        <v>18.03</v>
      </c>
      <c r="H505">
        <v>0</v>
      </c>
      <c r="I505">
        <v>0</v>
      </c>
      <c r="J505">
        <v>20</v>
      </c>
      <c r="K505">
        <v>20</v>
      </c>
      <c r="O505">
        <v>0</v>
      </c>
      <c r="P505">
        <v>4</v>
      </c>
      <c r="Q505">
        <v>0</v>
      </c>
      <c r="R505">
        <v>42.03</v>
      </c>
      <c r="S505">
        <v>0</v>
      </c>
      <c r="T505">
        <v>0</v>
      </c>
      <c r="U505">
        <v>0</v>
      </c>
      <c r="V505">
        <v>0</v>
      </c>
      <c r="W505" t="s">
        <v>14</v>
      </c>
      <c r="X505">
        <v>42.03</v>
      </c>
    </row>
    <row r="506" spans="1:24" ht="15">
      <c r="A506">
        <v>499</v>
      </c>
      <c r="B506">
        <v>93847</v>
      </c>
      <c r="C506" t="s">
        <v>1439</v>
      </c>
      <c r="D506" t="s">
        <v>29</v>
      </c>
      <c r="E506" t="s">
        <v>158</v>
      </c>
      <c r="F506" t="str">
        <f>"201504003788"</f>
        <v>201504003788</v>
      </c>
      <c r="G506">
        <v>15</v>
      </c>
      <c r="H506">
        <v>0</v>
      </c>
      <c r="I506">
        <v>0</v>
      </c>
      <c r="J506">
        <v>20</v>
      </c>
      <c r="K506">
        <v>20</v>
      </c>
      <c r="O506">
        <v>0</v>
      </c>
      <c r="P506">
        <v>4</v>
      </c>
      <c r="Q506">
        <v>0</v>
      </c>
      <c r="R506">
        <v>39</v>
      </c>
      <c r="S506">
        <v>0</v>
      </c>
      <c r="T506">
        <v>0</v>
      </c>
      <c r="U506">
        <v>3</v>
      </c>
      <c r="V506">
        <v>0</v>
      </c>
      <c r="W506" t="s">
        <v>14</v>
      </c>
      <c r="X506">
        <v>42</v>
      </c>
    </row>
    <row r="507" spans="1:24" ht="15">
      <c r="A507">
        <v>500</v>
      </c>
      <c r="B507">
        <v>110589</v>
      </c>
      <c r="C507" t="s">
        <v>1441</v>
      </c>
      <c r="D507" t="s">
        <v>1442</v>
      </c>
      <c r="E507" t="s">
        <v>21</v>
      </c>
      <c r="F507" t="str">
        <f>"00633150"</f>
        <v>00633150</v>
      </c>
      <c r="G507">
        <v>17.85</v>
      </c>
      <c r="H507">
        <v>0</v>
      </c>
      <c r="I507">
        <v>0</v>
      </c>
      <c r="J507">
        <v>20</v>
      </c>
      <c r="K507">
        <v>20</v>
      </c>
      <c r="O507">
        <v>0</v>
      </c>
      <c r="P507">
        <v>4</v>
      </c>
      <c r="Q507">
        <v>0</v>
      </c>
      <c r="R507">
        <v>41.85</v>
      </c>
      <c r="S507">
        <v>0</v>
      </c>
      <c r="T507">
        <v>0</v>
      </c>
      <c r="U507">
        <v>0</v>
      </c>
      <c r="V507">
        <v>0</v>
      </c>
      <c r="W507" t="s">
        <v>14</v>
      </c>
      <c r="X507">
        <v>41.85</v>
      </c>
    </row>
    <row r="508" spans="1:24" ht="15">
      <c r="A508">
        <v>501</v>
      </c>
      <c r="B508">
        <v>108035</v>
      </c>
      <c r="C508" t="s">
        <v>1443</v>
      </c>
      <c r="D508" t="s">
        <v>591</v>
      </c>
      <c r="E508" t="s">
        <v>1247</v>
      </c>
      <c r="F508" t="str">
        <f>"00652032"</f>
        <v>00652032</v>
      </c>
      <c r="G508">
        <v>17.83</v>
      </c>
      <c r="H508">
        <v>7</v>
      </c>
      <c r="I508">
        <v>0</v>
      </c>
      <c r="J508">
        <v>0</v>
      </c>
      <c r="K508">
        <v>0</v>
      </c>
      <c r="L508">
        <v>7</v>
      </c>
      <c r="N508">
        <v>3</v>
      </c>
      <c r="O508">
        <v>10</v>
      </c>
      <c r="P508">
        <v>4</v>
      </c>
      <c r="Q508">
        <v>0</v>
      </c>
      <c r="R508">
        <v>38.83</v>
      </c>
      <c r="S508">
        <v>0</v>
      </c>
      <c r="T508">
        <v>0</v>
      </c>
      <c r="U508">
        <v>3</v>
      </c>
      <c r="V508">
        <v>0</v>
      </c>
      <c r="W508" t="s">
        <v>14</v>
      </c>
      <c r="X508">
        <v>41.83</v>
      </c>
    </row>
    <row r="509" spans="1:24" ht="15">
      <c r="A509">
        <v>502</v>
      </c>
      <c r="B509">
        <v>21396</v>
      </c>
      <c r="C509" t="s">
        <v>1444</v>
      </c>
      <c r="D509" t="s">
        <v>72</v>
      </c>
      <c r="E509" t="s">
        <v>151</v>
      </c>
      <c r="F509" t="str">
        <f>"00471685"</f>
        <v>00471685</v>
      </c>
      <c r="G509">
        <v>16.78</v>
      </c>
      <c r="H509">
        <v>0</v>
      </c>
      <c r="I509">
        <v>0</v>
      </c>
      <c r="J509">
        <v>0</v>
      </c>
      <c r="K509">
        <v>0</v>
      </c>
      <c r="N509">
        <v>6</v>
      </c>
      <c r="O509">
        <v>6</v>
      </c>
      <c r="P509">
        <v>4</v>
      </c>
      <c r="Q509">
        <v>2</v>
      </c>
      <c r="R509">
        <v>28.78</v>
      </c>
      <c r="S509">
        <v>10</v>
      </c>
      <c r="T509">
        <v>10</v>
      </c>
      <c r="U509">
        <v>3</v>
      </c>
      <c r="V509">
        <v>0</v>
      </c>
      <c r="W509" t="s">
        <v>14</v>
      </c>
      <c r="X509">
        <v>41.78</v>
      </c>
    </row>
    <row r="510" spans="1:24" ht="15">
      <c r="A510">
        <v>503</v>
      </c>
      <c r="B510">
        <v>58079</v>
      </c>
      <c r="C510" t="s">
        <v>1445</v>
      </c>
      <c r="D510" t="s">
        <v>111</v>
      </c>
      <c r="E510" t="s">
        <v>23</v>
      </c>
      <c r="F510" t="str">
        <f>"201402006184"</f>
        <v>201402006184</v>
      </c>
      <c r="G510">
        <v>15.75</v>
      </c>
      <c r="H510">
        <v>7</v>
      </c>
      <c r="I510">
        <v>0</v>
      </c>
      <c r="J510">
        <v>0</v>
      </c>
      <c r="K510">
        <v>0</v>
      </c>
      <c r="N510">
        <v>3</v>
      </c>
      <c r="O510">
        <v>3</v>
      </c>
      <c r="P510">
        <v>4</v>
      </c>
      <c r="Q510">
        <v>0</v>
      </c>
      <c r="R510">
        <v>29.75</v>
      </c>
      <c r="S510">
        <v>0</v>
      </c>
      <c r="T510">
        <v>0</v>
      </c>
      <c r="U510">
        <v>12</v>
      </c>
      <c r="V510">
        <v>0</v>
      </c>
      <c r="W510" t="s">
        <v>14</v>
      </c>
      <c r="X510">
        <v>41.75</v>
      </c>
    </row>
    <row r="511" spans="1:24" ht="15">
      <c r="A511">
        <v>504</v>
      </c>
      <c r="B511">
        <v>85343</v>
      </c>
      <c r="C511" t="s">
        <v>1446</v>
      </c>
      <c r="D511" t="s">
        <v>1447</v>
      </c>
      <c r="E511" t="s">
        <v>83</v>
      </c>
      <c r="F511" t="str">
        <f>"201402012130"</f>
        <v>201402012130</v>
      </c>
      <c r="G511">
        <v>20.58</v>
      </c>
      <c r="H511">
        <v>7</v>
      </c>
      <c r="I511">
        <v>0</v>
      </c>
      <c r="J511">
        <v>0</v>
      </c>
      <c r="K511">
        <v>0</v>
      </c>
      <c r="L511">
        <v>7</v>
      </c>
      <c r="N511">
        <v>3</v>
      </c>
      <c r="O511">
        <v>10</v>
      </c>
      <c r="P511">
        <v>4</v>
      </c>
      <c r="Q511">
        <v>0</v>
      </c>
      <c r="R511">
        <v>41.58</v>
      </c>
      <c r="S511">
        <v>0</v>
      </c>
      <c r="T511">
        <v>0</v>
      </c>
      <c r="U511">
        <v>0</v>
      </c>
      <c r="V511">
        <v>0</v>
      </c>
      <c r="W511" t="s">
        <v>14</v>
      </c>
      <c r="X511">
        <v>41.58</v>
      </c>
    </row>
    <row r="512" spans="1:24" ht="15">
      <c r="A512">
        <v>505</v>
      </c>
      <c r="B512">
        <v>11641</v>
      </c>
      <c r="C512" t="s">
        <v>1448</v>
      </c>
      <c r="D512" t="s">
        <v>407</v>
      </c>
      <c r="E512" t="s">
        <v>1449</v>
      </c>
      <c r="F512" t="str">
        <f>"00109496"</f>
        <v>00109496</v>
      </c>
      <c r="G512">
        <v>20.55</v>
      </c>
      <c r="H512">
        <v>7</v>
      </c>
      <c r="I512">
        <v>0</v>
      </c>
      <c r="J512">
        <v>0</v>
      </c>
      <c r="K512">
        <v>0</v>
      </c>
      <c r="L512">
        <v>7</v>
      </c>
      <c r="N512">
        <v>3</v>
      </c>
      <c r="O512">
        <v>10</v>
      </c>
      <c r="P512">
        <v>4</v>
      </c>
      <c r="Q512">
        <v>0</v>
      </c>
      <c r="R512">
        <v>41.55</v>
      </c>
      <c r="S512">
        <v>0</v>
      </c>
      <c r="T512">
        <v>0</v>
      </c>
      <c r="U512">
        <v>0</v>
      </c>
      <c r="V512">
        <v>0</v>
      </c>
      <c r="W512" t="s">
        <v>14</v>
      </c>
      <c r="X512">
        <v>41.55</v>
      </c>
    </row>
    <row r="513" spans="1:24" ht="15">
      <c r="A513">
        <v>506</v>
      </c>
      <c r="B513">
        <v>64192</v>
      </c>
      <c r="C513" t="s">
        <v>1452</v>
      </c>
      <c r="D513" t="s">
        <v>370</v>
      </c>
      <c r="E513" t="s">
        <v>17</v>
      </c>
      <c r="F513" t="str">
        <f>"00518318"</f>
        <v>00518318</v>
      </c>
      <c r="G513">
        <v>14.5</v>
      </c>
      <c r="H513">
        <v>0</v>
      </c>
      <c r="I513">
        <v>0</v>
      </c>
      <c r="J513">
        <v>0</v>
      </c>
      <c r="K513">
        <v>0</v>
      </c>
      <c r="O513">
        <v>0</v>
      </c>
      <c r="P513">
        <v>4</v>
      </c>
      <c r="Q513">
        <v>2</v>
      </c>
      <c r="R513">
        <v>20.5</v>
      </c>
      <c r="S513">
        <v>21</v>
      </c>
      <c r="T513">
        <v>21</v>
      </c>
      <c r="U513">
        <v>0</v>
      </c>
      <c r="V513">
        <v>0</v>
      </c>
      <c r="W513" t="s">
        <v>14</v>
      </c>
      <c r="X513">
        <v>41.5</v>
      </c>
    </row>
    <row r="514" spans="1:24" ht="15">
      <c r="A514">
        <v>507</v>
      </c>
      <c r="B514">
        <v>14012</v>
      </c>
      <c r="C514" t="s">
        <v>1453</v>
      </c>
      <c r="D514" t="s">
        <v>30</v>
      </c>
      <c r="E514" t="s">
        <v>27</v>
      </c>
      <c r="F514" t="str">
        <f>"201504001123"</f>
        <v>201504001123</v>
      </c>
      <c r="G514">
        <v>15.4</v>
      </c>
      <c r="H514">
        <v>0</v>
      </c>
      <c r="I514">
        <v>0</v>
      </c>
      <c r="J514">
        <v>20</v>
      </c>
      <c r="K514">
        <v>20</v>
      </c>
      <c r="O514">
        <v>0</v>
      </c>
      <c r="P514">
        <v>4</v>
      </c>
      <c r="Q514">
        <v>2</v>
      </c>
      <c r="R514">
        <v>41.4</v>
      </c>
      <c r="S514">
        <v>0</v>
      </c>
      <c r="T514">
        <v>0</v>
      </c>
      <c r="U514">
        <v>0</v>
      </c>
      <c r="V514">
        <v>0</v>
      </c>
      <c r="W514" t="s">
        <v>14</v>
      </c>
      <c r="X514">
        <v>41.4</v>
      </c>
    </row>
    <row r="515" spans="1:24" ht="15">
      <c r="A515">
        <v>508</v>
      </c>
      <c r="B515">
        <v>8040</v>
      </c>
      <c r="C515" t="s">
        <v>1456</v>
      </c>
      <c r="D515" t="s">
        <v>554</v>
      </c>
      <c r="E515" t="s">
        <v>21</v>
      </c>
      <c r="F515" t="str">
        <f>"00603128"</f>
        <v>00603128</v>
      </c>
      <c r="G515">
        <v>18.05</v>
      </c>
      <c r="H515">
        <v>7</v>
      </c>
      <c r="I515">
        <v>0</v>
      </c>
      <c r="J515">
        <v>0</v>
      </c>
      <c r="K515">
        <v>0</v>
      </c>
      <c r="L515">
        <v>7</v>
      </c>
      <c r="N515">
        <v>3</v>
      </c>
      <c r="O515">
        <v>10</v>
      </c>
      <c r="P515">
        <v>4</v>
      </c>
      <c r="Q515">
        <v>2</v>
      </c>
      <c r="R515">
        <v>41.05</v>
      </c>
      <c r="S515">
        <v>0</v>
      </c>
      <c r="T515">
        <v>0</v>
      </c>
      <c r="U515">
        <v>0</v>
      </c>
      <c r="V515">
        <v>0</v>
      </c>
      <c r="W515" t="s">
        <v>14</v>
      </c>
      <c r="X515">
        <v>41.05</v>
      </c>
    </row>
    <row r="516" spans="1:24" ht="15">
      <c r="A516">
        <v>509</v>
      </c>
      <c r="B516">
        <v>32339</v>
      </c>
      <c r="C516" t="s">
        <v>1458</v>
      </c>
      <c r="D516" t="s">
        <v>32</v>
      </c>
      <c r="E516" t="s">
        <v>27</v>
      </c>
      <c r="F516" t="str">
        <f>"00556445"</f>
        <v>00556445</v>
      </c>
      <c r="G516">
        <v>14.75</v>
      </c>
      <c r="H516">
        <v>0</v>
      </c>
      <c r="I516">
        <v>0</v>
      </c>
      <c r="J516">
        <v>0</v>
      </c>
      <c r="K516">
        <v>0</v>
      </c>
      <c r="O516">
        <v>0</v>
      </c>
      <c r="P516">
        <v>4</v>
      </c>
      <c r="Q516">
        <v>2</v>
      </c>
      <c r="R516">
        <v>20.75</v>
      </c>
      <c r="S516">
        <v>14</v>
      </c>
      <c r="T516">
        <v>14</v>
      </c>
      <c r="U516">
        <v>6</v>
      </c>
      <c r="V516">
        <v>0</v>
      </c>
      <c r="W516" t="s">
        <v>14</v>
      </c>
      <c r="X516">
        <v>40.75</v>
      </c>
    </row>
    <row r="517" spans="1:24" ht="15">
      <c r="A517">
        <v>510</v>
      </c>
      <c r="B517">
        <v>32616</v>
      </c>
      <c r="C517" t="s">
        <v>1202</v>
      </c>
      <c r="D517" t="s">
        <v>21</v>
      </c>
      <c r="E517" t="s">
        <v>135</v>
      </c>
      <c r="F517" t="str">
        <f>"00202449"</f>
        <v>00202449</v>
      </c>
      <c r="G517">
        <v>14.65</v>
      </c>
      <c r="H517">
        <v>0</v>
      </c>
      <c r="I517">
        <v>0</v>
      </c>
      <c r="J517">
        <v>20</v>
      </c>
      <c r="K517">
        <v>20</v>
      </c>
      <c r="O517">
        <v>0</v>
      </c>
      <c r="P517">
        <v>4</v>
      </c>
      <c r="Q517">
        <v>2</v>
      </c>
      <c r="R517">
        <v>40.65</v>
      </c>
      <c r="S517">
        <v>0</v>
      </c>
      <c r="T517">
        <v>0</v>
      </c>
      <c r="U517">
        <v>0</v>
      </c>
      <c r="V517">
        <v>0</v>
      </c>
      <c r="W517" t="s">
        <v>14</v>
      </c>
      <c r="X517">
        <v>40.65</v>
      </c>
    </row>
    <row r="518" spans="1:24" ht="15">
      <c r="A518">
        <v>511</v>
      </c>
      <c r="B518">
        <v>95524</v>
      </c>
      <c r="C518" t="s">
        <v>1459</v>
      </c>
      <c r="D518" t="s">
        <v>875</v>
      </c>
      <c r="E518" t="s">
        <v>44</v>
      </c>
      <c r="F518" t="str">
        <f>"00009156"</f>
        <v>00009156</v>
      </c>
      <c r="G518">
        <v>16.63</v>
      </c>
      <c r="H518">
        <v>0</v>
      </c>
      <c r="I518">
        <v>0</v>
      </c>
      <c r="J518">
        <v>20</v>
      </c>
      <c r="K518">
        <v>20</v>
      </c>
      <c r="O518">
        <v>0</v>
      </c>
      <c r="P518">
        <v>4</v>
      </c>
      <c r="Q518">
        <v>0</v>
      </c>
      <c r="R518">
        <v>40.63</v>
      </c>
      <c r="S518">
        <v>0</v>
      </c>
      <c r="T518">
        <v>0</v>
      </c>
      <c r="U518">
        <v>0</v>
      </c>
      <c r="V518">
        <v>0</v>
      </c>
      <c r="W518" t="s">
        <v>14</v>
      </c>
      <c r="X518">
        <v>40.63</v>
      </c>
    </row>
    <row r="519" spans="1:24" ht="15">
      <c r="A519">
        <v>512</v>
      </c>
      <c r="B519">
        <v>98733</v>
      </c>
      <c r="C519" t="s">
        <v>1461</v>
      </c>
      <c r="D519" t="s">
        <v>469</v>
      </c>
      <c r="E519" t="s">
        <v>124</v>
      </c>
      <c r="F519" t="str">
        <f>"00235509"</f>
        <v>00235509</v>
      </c>
      <c r="G519">
        <v>14.58</v>
      </c>
      <c r="H519">
        <v>0</v>
      </c>
      <c r="I519">
        <v>0</v>
      </c>
      <c r="J519">
        <v>20</v>
      </c>
      <c r="K519">
        <v>20</v>
      </c>
      <c r="O519">
        <v>0</v>
      </c>
      <c r="P519">
        <v>4</v>
      </c>
      <c r="Q519">
        <v>2</v>
      </c>
      <c r="R519">
        <v>40.58</v>
      </c>
      <c r="S519">
        <v>0</v>
      </c>
      <c r="T519">
        <v>0</v>
      </c>
      <c r="U519">
        <v>0</v>
      </c>
      <c r="V519">
        <v>0</v>
      </c>
      <c r="W519" t="s">
        <v>14</v>
      </c>
      <c r="X519">
        <v>40.58</v>
      </c>
    </row>
    <row r="520" spans="1:24" ht="15">
      <c r="A520">
        <v>513</v>
      </c>
      <c r="B520">
        <v>13649</v>
      </c>
      <c r="C520" t="s">
        <v>1462</v>
      </c>
      <c r="D520" t="s">
        <v>29</v>
      </c>
      <c r="E520" t="s">
        <v>53</v>
      </c>
      <c r="F520" t="str">
        <f>"201406019044"</f>
        <v>201406019044</v>
      </c>
      <c r="G520">
        <v>16.5</v>
      </c>
      <c r="H520">
        <v>7</v>
      </c>
      <c r="I520">
        <v>0</v>
      </c>
      <c r="J520">
        <v>0</v>
      </c>
      <c r="K520">
        <v>0</v>
      </c>
      <c r="L520">
        <v>7</v>
      </c>
      <c r="N520">
        <v>3</v>
      </c>
      <c r="O520">
        <v>10</v>
      </c>
      <c r="P520">
        <v>4</v>
      </c>
      <c r="Q520">
        <v>0</v>
      </c>
      <c r="R520">
        <v>37.5</v>
      </c>
      <c r="S520">
        <v>0</v>
      </c>
      <c r="T520">
        <v>0</v>
      </c>
      <c r="U520">
        <v>3</v>
      </c>
      <c r="V520">
        <v>0</v>
      </c>
      <c r="W520" t="s">
        <v>14</v>
      </c>
      <c r="X520">
        <v>40.5</v>
      </c>
    </row>
    <row r="521" spans="1:24" ht="15">
      <c r="A521">
        <v>514</v>
      </c>
      <c r="B521">
        <v>87653</v>
      </c>
      <c r="C521" t="s">
        <v>1467</v>
      </c>
      <c r="D521" t="s">
        <v>153</v>
      </c>
      <c r="E521" t="s">
        <v>1171</v>
      </c>
      <c r="F521" t="str">
        <f>"00648804"</f>
        <v>00648804</v>
      </c>
      <c r="G521">
        <v>18.85</v>
      </c>
      <c r="H521">
        <v>0</v>
      </c>
      <c r="I521">
        <v>0</v>
      </c>
      <c r="J521">
        <v>0</v>
      </c>
      <c r="K521">
        <v>0</v>
      </c>
      <c r="N521">
        <v>3</v>
      </c>
      <c r="O521">
        <v>3</v>
      </c>
      <c r="P521">
        <v>4</v>
      </c>
      <c r="Q521">
        <v>0</v>
      </c>
      <c r="R521">
        <v>25.85</v>
      </c>
      <c r="S521">
        <v>8</v>
      </c>
      <c r="T521">
        <v>8</v>
      </c>
      <c r="U521">
        <v>6</v>
      </c>
      <c r="V521">
        <v>0</v>
      </c>
      <c r="W521" t="s">
        <v>14</v>
      </c>
      <c r="X521">
        <v>39.85</v>
      </c>
    </row>
    <row r="522" spans="1:24" ht="15">
      <c r="A522">
        <v>515</v>
      </c>
      <c r="B522">
        <v>42537</v>
      </c>
      <c r="C522" t="s">
        <v>706</v>
      </c>
      <c r="D522" t="s">
        <v>173</v>
      </c>
      <c r="E522" t="s">
        <v>273</v>
      </c>
      <c r="F522" t="str">
        <f>"00580949"</f>
        <v>00580949</v>
      </c>
      <c r="G522">
        <v>15.75</v>
      </c>
      <c r="H522">
        <v>7</v>
      </c>
      <c r="I522">
        <v>0</v>
      </c>
      <c r="J522">
        <v>0</v>
      </c>
      <c r="K522">
        <v>0</v>
      </c>
      <c r="L522">
        <v>7</v>
      </c>
      <c r="O522">
        <v>7</v>
      </c>
      <c r="P522">
        <v>4</v>
      </c>
      <c r="Q522">
        <v>0</v>
      </c>
      <c r="R522">
        <v>33.75</v>
      </c>
      <c r="S522">
        <v>0</v>
      </c>
      <c r="T522">
        <v>0</v>
      </c>
      <c r="U522">
        <v>6</v>
      </c>
      <c r="V522">
        <v>0</v>
      </c>
      <c r="W522" t="s">
        <v>14</v>
      </c>
      <c r="X522">
        <v>39.75</v>
      </c>
    </row>
    <row r="523" spans="1:24" ht="15">
      <c r="A523">
        <v>516</v>
      </c>
      <c r="B523">
        <v>63451</v>
      </c>
      <c r="C523" t="s">
        <v>1468</v>
      </c>
      <c r="D523" t="s">
        <v>109</v>
      </c>
      <c r="E523" t="s">
        <v>113</v>
      </c>
      <c r="F523" t="str">
        <f>"00623170"</f>
        <v>00623170</v>
      </c>
      <c r="G523">
        <v>15.75</v>
      </c>
      <c r="H523">
        <v>0</v>
      </c>
      <c r="I523">
        <v>0</v>
      </c>
      <c r="J523">
        <v>20</v>
      </c>
      <c r="K523">
        <v>20</v>
      </c>
      <c r="O523">
        <v>0</v>
      </c>
      <c r="P523">
        <v>4</v>
      </c>
      <c r="Q523">
        <v>0</v>
      </c>
      <c r="R523">
        <v>39.75</v>
      </c>
      <c r="S523">
        <v>0</v>
      </c>
      <c r="T523">
        <v>0</v>
      </c>
      <c r="U523">
        <v>0</v>
      </c>
      <c r="V523">
        <v>0</v>
      </c>
      <c r="W523" t="s">
        <v>14</v>
      </c>
      <c r="X523">
        <v>39.75</v>
      </c>
    </row>
    <row r="524" spans="1:24" ht="15">
      <c r="A524">
        <v>517</v>
      </c>
      <c r="B524">
        <v>12647</v>
      </c>
      <c r="C524" t="s">
        <v>435</v>
      </c>
      <c r="D524" t="s">
        <v>1469</v>
      </c>
      <c r="E524" t="s">
        <v>13</v>
      </c>
      <c r="F524" t="str">
        <f>"00023740"</f>
        <v>00023740</v>
      </c>
      <c r="G524">
        <v>17.75</v>
      </c>
      <c r="H524">
        <v>0</v>
      </c>
      <c r="I524">
        <v>0</v>
      </c>
      <c r="J524">
        <v>0</v>
      </c>
      <c r="K524">
        <v>0</v>
      </c>
      <c r="L524">
        <v>7</v>
      </c>
      <c r="M524">
        <v>5</v>
      </c>
      <c r="O524">
        <v>12</v>
      </c>
      <c r="P524">
        <v>4</v>
      </c>
      <c r="Q524">
        <v>0</v>
      </c>
      <c r="R524">
        <v>33.75</v>
      </c>
      <c r="S524">
        <v>6</v>
      </c>
      <c r="T524">
        <v>6</v>
      </c>
      <c r="U524">
        <v>0</v>
      </c>
      <c r="V524">
        <v>0</v>
      </c>
      <c r="W524" t="s">
        <v>14</v>
      </c>
      <c r="X524">
        <v>39.75</v>
      </c>
    </row>
    <row r="525" spans="1:24" ht="15">
      <c r="A525">
        <v>518</v>
      </c>
      <c r="B525">
        <v>13153</v>
      </c>
      <c r="C525" t="s">
        <v>1471</v>
      </c>
      <c r="D525" t="s">
        <v>29</v>
      </c>
      <c r="E525" t="s">
        <v>76</v>
      </c>
      <c r="F525" t="str">
        <f>"00424277"</f>
        <v>00424277</v>
      </c>
      <c r="G525">
        <v>20.63</v>
      </c>
      <c r="H525">
        <v>7</v>
      </c>
      <c r="I525">
        <v>0</v>
      </c>
      <c r="J525">
        <v>0</v>
      </c>
      <c r="K525">
        <v>0</v>
      </c>
      <c r="N525">
        <v>3</v>
      </c>
      <c r="O525">
        <v>3</v>
      </c>
      <c r="P525">
        <v>4</v>
      </c>
      <c r="Q525">
        <v>2</v>
      </c>
      <c r="R525">
        <v>36.63</v>
      </c>
      <c r="S525">
        <v>0</v>
      </c>
      <c r="T525">
        <v>0</v>
      </c>
      <c r="U525">
        <v>3</v>
      </c>
      <c r="V525">
        <v>0</v>
      </c>
      <c r="W525" t="s">
        <v>14</v>
      </c>
      <c r="X525">
        <v>39.63</v>
      </c>
    </row>
    <row r="526" spans="1:24" ht="15">
      <c r="A526">
        <v>519</v>
      </c>
      <c r="B526">
        <v>18826</v>
      </c>
      <c r="C526" t="s">
        <v>197</v>
      </c>
      <c r="D526" t="s">
        <v>16</v>
      </c>
      <c r="E526" t="s">
        <v>17</v>
      </c>
      <c r="F526" t="str">
        <f>"200810000998"</f>
        <v>200810000998</v>
      </c>
      <c r="G526">
        <v>21.4</v>
      </c>
      <c r="H526">
        <v>7</v>
      </c>
      <c r="I526">
        <v>0</v>
      </c>
      <c r="J526">
        <v>0</v>
      </c>
      <c r="K526">
        <v>0</v>
      </c>
      <c r="L526">
        <v>7</v>
      </c>
      <c r="O526">
        <v>7</v>
      </c>
      <c r="P526">
        <v>4</v>
      </c>
      <c r="Q526">
        <v>0</v>
      </c>
      <c r="R526">
        <v>39.4</v>
      </c>
      <c r="S526">
        <v>0</v>
      </c>
      <c r="T526">
        <v>0</v>
      </c>
      <c r="U526">
        <v>0</v>
      </c>
      <c r="V526">
        <v>0</v>
      </c>
      <c r="W526" t="s">
        <v>14</v>
      </c>
      <c r="X526">
        <v>39.4</v>
      </c>
    </row>
    <row r="527" spans="1:24" ht="15">
      <c r="A527">
        <v>520</v>
      </c>
      <c r="B527">
        <v>77464</v>
      </c>
      <c r="C527" t="s">
        <v>1473</v>
      </c>
      <c r="D527" t="s">
        <v>29</v>
      </c>
      <c r="E527" t="s">
        <v>12</v>
      </c>
      <c r="F527" t="str">
        <f>"00434508"</f>
        <v>00434508</v>
      </c>
      <c r="G527">
        <v>19.28</v>
      </c>
      <c r="H527">
        <v>7</v>
      </c>
      <c r="I527">
        <v>0</v>
      </c>
      <c r="J527">
        <v>0</v>
      </c>
      <c r="K527">
        <v>0</v>
      </c>
      <c r="N527">
        <v>6</v>
      </c>
      <c r="O527">
        <v>6</v>
      </c>
      <c r="P527">
        <v>4</v>
      </c>
      <c r="Q527">
        <v>0</v>
      </c>
      <c r="R527">
        <v>36.28</v>
      </c>
      <c r="S527">
        <v>0</v>
      </c>
      <c r="T527">
        <v>0</v>
      </c>
      <c r="U527">
        <v>3</v>
      </c>
      <c r="V527">
        <v>0</v>
      </c>
      <c r="W527" t="s">
        <v>14</v>
      </c>
      <c r="X527">
        <v>39.28</v>
      </c>
    </row>
    <row r="528" spans="1:24" ht="15">
      <c r="A528">
        <v>521</v>
      </c>
      <c r="B528">
        <v>5151</v>
      </c>
      <c r="C528" t="s">
        <v>1474</v>
      </c>
      <c r="D528" t="s">
        <v>391</v>
      </c>
      <c r="E528" t="s">
        <v>201</v>
      </c>
      <c r="F528" t="str">
        <f>"201406011599"</f>
        <v>201406011599</v>
      </c>
      <c r="G528">
        <v>17.23</v>
      </c>
      <c r="H528">
        <v>7</v>
      </c>
      <c r="I528">
        <v>0</v>
      </c>
      <c r="J528">
        <v>0</v>
      </c>
      <c r="K528">
        <v>0</v>
      </c>
      <c r="N528">
        <v>3</v>
      </c>
      <c r="O528">
        <v>3</v>
      </c>
      <c r="P528">
        <v>4</v>
      </c>
      <c r="Q528">
        <v>2</v>
      </c>
      <c r="R528">
        <v>33.23</v>
      </c>
      <c r="S528">
        <v>0</v>
      </c>
      <c r="T528">
        <v>0</v>
      </c>
      <c r="U528">
        <v>6</v>
      </c>
      <c r="V528">
        <v>0</v>
      </c>
      <c r="W528" t="s">
        <v>14</v>
      </c>
      <c r="X528">
        <v>39.23</v>
      </c>
    </row>
    <row r="529" spans="1:24" ht="15">
      <c r="A529">
        <v>522</v>
      </c>
      <c r="B529">
        <v>101583</v>
      </c>
      <c r="C529" t="s">
        <v>476</v>
      </c>
      <c r="D529" t="s">
        <v>1482</v>
      </c>
      <c r="E529" t="s">
        <v>53</v>
      </c>
      <c r="F529" t="str">
        <f>"200802005462"</f>
        <v>200802005462</v>
      </c>
      <c r="G529">
        <v>17.88</v>
      </c>
      <c r="H529">
        <v>0</v>
      </c>
      <c r="I529">
        <v>0</v>
      </c>
      <c r="J529">
        <v>0</v>
      </c>
      <c r="K529">
        <v>0</v>
      </c>
      <c r="L529">
        <v>7</v>
      </c>
      <c r="N529">
        <v>3</v>
      </c>
      <c r="O529">
        <v>10</v>
      </c>
      <c r="P529">
        <v>4</v>
      </c>
      <c r="Q529">
        <v>0</v>
      </c>
      <c r="R529">
        <v>31.88</v>
      </c>
      <c r="S529">
        <v>7</v>
      </c>
      <c r="T529">
        <v>7</v>
      </c>
      <c r="U529">
        <v>0</v>
      </c>
      <c r="V529">
        <v>0</v>
      </c>
      <c r="W529" t="s">
        <v>14</v>
      </c>
      <c r="X529">
        <v>38.88</v>
      </c>
    </row>
    <row r="530" spans="1:24" ht="15">
      <c r="A530">
        <v>523</v>
      </c>
      <c r="B530">
        <v>46419</v>
      </c>
      <c r="C530" t="s">
        <v>1484</v>
      </c>
      <c r="D530" t="s">
        <v>46</v>
      </c>
      <c r="E530" t="s">
        <v>23</v>
      </c>
      <c r="F530" t="str">
        <f>"00567840"</f>
        <v>00567840</v>
      </c>
      <c r="G530">
        <v>15.85</v>
      </c>
      <c r="H530">
        <v>7</v>
      </c>
      <c r="I530">
        <v>0</v>
      </c>
      <c r="J530">
        <v>0</v>
      </c>
      <c r="K530">
        <v>0</v>
      </c>
      <c r="L530">
        <v>7</v>
      </c>
      <c r="M530">
        <v>5</v>
      </c>
      <c r="O530">
        <v>12</v>
      </c>
      <c r="P530">
        <v>4</v>
      </c>
      <c r="Q530">
        <v>0</v>
      </c>
      <c r="R530">
        <v>38.85</v>
      </c>
      <c r="S530">
        <v>0</v>
      </c>
      <c r="T530">
        <v>0</v>
      </c>
      <c r="U530">
        <v>0</v>
      </c>
      <c r="V530">
        <v>0</v>
      </c>
      <c r="W530" t="s">
        <v>14</v>
      </c>
      <c r="X530">
        <v>38.85</v>
      </c>
    </row>
    <row r="531" spans="1:24" ht="15">
      <c r="A531">
        <v>524</v>
      </c>
      <c r="B531">
        <v>57959</v>
      </c>
      <c r="C531" t="s">
        <v>1487</v>
      </c>
      <c r="D531" t="s">
        <v>465</v>
      </c>
      <c r="E531" t="s">
        <v>30</v>
      </c>
      <c r="F531" t="str">
        <f>"00480309"</f>
        <v>00480309</v>
      </c>
      <c r="G531">
        <v>17.73</v>
      </c>
      <c r="H531">
        <v>7</v>
      </c>
      <c r="I531">
        <v>0</v>
      </c>
      <c r="J531">
        <v>0</v>
      </c>
      <c r="K531">
        <v>0</v>
      </c>
      <c r="L531">
        <v>7</v>
      </c>
      <c r="O531">
        <v>7</v>
      </c>
      <c r="P531">
        <v>4</v>
      </c>
      <c r="Q531">
        <v>2</v>
      </c>
      <c r="R531">
        <v>37.73</v>
      </c>
      <c r="S531">
        <v>1</v>
      </c>
      <c r="T531">
        <v>1</v>
      </c>
      <c r="U531">
        <v>0</v>
      </c>
      <c r="V531">
        <v>0</v>
      </c>
      <c r="W531" t="s">
        <v>14</v>
      </c>
      <c r="X531">
        <v>38.73</v>
      </c>
    </row>
    <row r="532" spans="1:24" ht="15">
      <c r="A532">
        <v>525</v>
      </c>
      <c r="B532">
        <v>48878</v>
      </c>
      <c r="C532" t="s">
        <v>1488</v>
      </c>
      <c r="D532" t="s">
        <v>29</v>
      </c>
      <c r="E532" t="s">
        <v>53</v>
      </c>
      <c r="F532" t="str">
        <f>"00573688"</f>
        <v>00573688</v>
      </c>
      <c r="G532">
        <v>16.63</v>
      </c>
      <c r="H532">
        <v>7</v>
      </c>
      <c r="I532">
        <v>0</v>
      </c>
      <c r="J532">
        <v>0</v>
      </c>
      <c r="K532">
        <v>0</v>
      </c>
      <c r="N532">
        <v>3</v>
      </c>
      <c r="O532">
        <v>3</v>
      </c>
      <c r="P532">
        <v>4</v>
      </c>
      <c r="Q532">
        <v>0</v>
      </c>
      <c r="R532">
        <v>30.63</v>
      </c>
      <c r="S532">
        <v>8</v>
      </c>
      <c r="T532">
        <v>8</v>
      </c>
      <c r="U532">
        <v>0</v>
      </c>
      <c r="V532">
        <v>0</v>
      </c>
      <c r="W532" t="s">
        <v>14</v>
      </c>
      <c r="X532">
        <v>38.63</v>
      </c>
    </row>
    <row r="533" spans="1:24" ht="15">
      <c r="A533">
        <v>526</v>
      </c>
      <c r="B533">
        <v>115267</v>
      </c>
      <c r="C533" t="s">
        <v>1270</v>
      </c>
      <c r="D533" t="s">
        <v>69</v>
      </c>
      <c r="E533" t="s">
        <v>95</v>
      </c>
      <c r="F533" t="str">
        <f>"201402000109"</f>
        <v>201402000109</v>
      </c>
      <c r="G533">
        <v>18.5</v>
      </c>
      <c r="H533">
        <v>0</v>
      </c>
      <c r="I533">
        <v>0</v>
      </c>
      <c r="J533">
        <v>0</v>
      </c>
      <c r="K533">
        <v>0</v>
      </c>
      <c r="N533">
        <v>6</v>
      </c>
      <c r="O533">
        <v>6</v>
      </c>
      <c r="P533">
        <v>4</v>
      </c>
      <c r="Q533">
        <v>0</v>
      </c>
      <c r="R533">
        <v>28.5</v>
      </c>
      <c r="S533">
        <v>7</v>
      </c>
      <c r="T533">
        <v>7</v>
      </c>
      <c r="U533">
        <v>3</v>
      </c>
      <c r="V533">
        <v>0</v>
      </c>
      <c r="W533" t="s">
        <v>14</v>
      </c>
      <c r="X533">
        <v>38.5</v>
      </c>
    </row>
    <row r="534" spans="1:24" ht="15">
      <c r="A534">
        <v>527</v>
      </c>
      <c r="B534">
        <v>38469</v>
      </c>
      <c r="C534" t="s">
        <v>1495</v>
      </c>
      <c r="D534" t="s">
        <v>180</v>
      </c>
      <c r="E534" t="s">
        <v>507</v>
      </c>
      <c r="F534" t="str">
        <f>"00182226"</f>
        <v>00182226</v>
      </c>
      <c r="G534">
        <v>20.05</v>
      </c>
      <c r="H534">
        <v>0</v>
      </c>
      <c r="I534">
        <v>0</v>
      </c>
      <c r="J534">
        <v>0</v>
      </c>
      <c r="K534">
        <v>0</v>
      </c>
      <c r="N534">
        <v>3</v>
      </c>
      <c r="O534">
        <v>3</v>
      </c>
      <c r="P534">
        <v>4</v>
      </c>
      <c r="Q534">
        <v>2</v>
      </c>
      <c r="R534">
        <v>29.05</v>
      </c>
      <c r="S534">
        <v>6</v>
      </c>
      <c r="T534">
        <v>6</v>
      </c>
      <c r="U534">
        <v>3</v>
      </c>
      <c r="V534">
        <v>0</v>
      </c>
      <c r="W534" t="s">
        <v>14</v>
      </c>
      <c r="X534">
        <v>38.05</v>
      </c>
    </row>
    <row r="535" spans="1:24" ht="15">
      <c r="A535">
        <v>528</v>
      </c>
      <c r="B535">
        <v>102322</v>
      </c>
      <c r="C535" t="s">
        <v>1496</v>
      </c>
      <c r="D535" t="s">
        <v>35</v>
      </c>
      <c r="E535" t="s">
        <v>76</v>
      </c>
      <c r="F535" t="str">
        <f>"201601000896"</f>
        <v>201601000896</v>
      </c>
      <c r="G535">
        <v>17.83</v>
      </c>
      <c r="H535">
        <v>0</v>
      </c>
      <c r="I535">
        <v>0</v>
      </c>
      <c r="J535">
        <v>20</v>
      </c>
      <c r="K535">
        <v>20</v>
      </c>
      <c r="O535">
        <v>0</v>
      </c>
      <c r="P535">
        <v>0</v>
      </c>
      <c r="Q535">
        <v>0</v>
      </c>
      <c r="R535">
        <v>37.83</v>
      </c>
      <c r="S535">
        <v>0</v>
      </c>
      <c r="T535">
        <v>0</v>
      </c>
      <c r="U535">
        <v>0</v>
      </c>
      <c r="V535">
        <v>0</v>
      </c>
      <c r="W535" t="s">
        <v>14</v>
      </c>
      <c r="X535">
        <v>37.83</v>
      </c>
    </row>
    <row r="536" spans="1:24" ht="15">
      <c r="A536">
        <v>529</v>
      </c>
      <c r="B536">
        <v>56243</v>
      </c>
      <c r="C536" t="s">
        <v>963</v>
      </c>
      <c r="D536" t="s">
        <v>43</v>
      </c>
      <c r="E536" t="s">
        <v>30</v>
      </c>
      <c r="F536" t="str">
        <f>"00231941"</f>
        <v>00231941</v>
      </c>
      <c r="G536">
        <v>16.8</v>
      </c>
      <c r="H536">
        <v>0</v>
      </c>
      <c r="I536">
        <v>0</v>
      </c>
      <c r="J536">
        <v>0</v>
      </c>
      <c r="K536">
        <v>0</v>
      </c>
      <c r="L536">
        <v>7</v>
      </c>
      <c r="M536">
        <v>5</v>
      </c>
      <c r="O536">
        <v>12</v>
      </c>
      <c r="P536">
        <v>4</v>
      </c>
      <c r="Q536">
        <v>0</v>
      </c>
      <c r="R536">
        <v>32.8</v>
      </c>
      <c r="S536">
        <v>2</v>
      </c>
      <c r="T536">
        <v>2</v>
      </c>
      <c r="U536">
        <v>3</v>
      </c>
      <c r="V536">
        <v>0</v>
      </c>
      <c r="W536" t="s">
        <v>14</v>
      </c>
      <c r="X536">
        <v>37.8</v>
      </c>
    </row>
    <row r="537" spans="1:24" ht="15">
      <c r="A537">
        <v>530</v>
      </c>
      <c r="B537">
        <v>42990</v>
      </c>
      <c r="C537" t="s">
        <v>1497</v>
      </c>
      <c r="D537" t="s">
        <v>442</v>
      </c>
      <c r="E537" t="s">
        <v>30</v>
      </c>
      <c r="F537" t="str">
        <f>"201405002033"</f>
        <v>201405002033</v>
      </c>
      <c r="G537">
        <v>16.75</v>
      </c>
      <c r="H537">
        <v>0</v>
      </c>
      <c r="I537">
        <v>0</v>
      </c>
      <c r="J537">
        <v>0</v>
      </c>
      <c r="K537">
        <v>0</v>
      </c>
      <c r="L537">
        <v>14</v>
      </c>
      <c r="O537">
        <v>14</v>
      </c>
      <c r="P537">
        <v>4</v>
      </c>
      <c r="Q537">
        <v>0</v>
      </c>
      <c r="R537">
        <v>34.75</v>
      </c>
      <c r="S537">
        <v>0</v>
      </c>
      <c r="T537">
        <v>0</v>
      </c>
      <c r="U537">
        <v>3</v>
      </c>
      <c r="V537">
        <v>0</v>
      </c>
      <c r="W537" t="s">
        <v>14</v>
      </c>
      <c r="X537">
        <v>37.75</v>
      </c>
    </row>
    <row r="538" spans="1:24" ht="15">
      <c r="A538">
        <v>531</v>
      </c>
      <c r="B538">
        <v>95809</v>
      </c>
      <c r="C538" t="s">
        <v>1502</v>
      </c>
      <c r="D538" t="s">
        <v>30</v>
      </c>
      <c r="E538" t="s">
        <v>12</v>
      </c>
      <c r="F538" t="str">
        <f>"00439580"</f>
        <v>00439580</v>
      </c>
      <c r="G538">
        <v>17.45</v>
      </c>
      <c r="H538">
        <v>7</v>
      </c>
      <c r="I538">
        <v>0</v>
      </c>
      <c r="J538">
        <v>0</v>
      </c>
      <c r="K538">
        <v>0</v>
      </c>
      <c r="L538">
        <v>7</v>
      </c>
      <c r="O538">
        <v>7</v>
      </c>
      <c r="P538">
        <v>4</v>
      </c>
      <c r="Q538">
        <v>2</v>
      </c>
      <c r="R538">
        <v>37.45</v>
      </c>
      <c r="S538">
        <v>0</v>
      </c>
      <c r="T538">
        <v>0</v>
      </c>
      <c r="U538">
        <v>0</v>
      </c>
      <c r="V538">
        <v>0</v>
      </c>
      <c r="W538" t="s">
        <v>14</v>
      </c>
      <c r="X538">
        <v>37.45</v>
      </c>
    </row>
    <row r="539" spans="1:24" ht="15">
      <c r="A539">
        <v>532</v>
      </c>
      <c r="B539">
        <v>70377</v>
      </c>
      <c r="C539" t="s">
        <v>1506</v>
      </c>
      <c r="D539" t="s">
        <v>23</v>
      </c>
      <c r="E539" t="s">
        <v>469</v>
      </c>
      <c r="F539" t="str">
        <f>"200807000427"</f>
        <v>200807000427</v>
      </c>
      <c r="G539">
        <v>17.18</v>
      </c>
      <c r="H539">
        <v>0</v>
      </c>
      <c r="I539">
        <v>0</v>
      </c>
      <c r="J539">
        <v>0</v>
      </c>
      <c r="K539">
        <v>0</v>
      </c>
      <c r="N539">
        <v>3</v>
      </c>
      <c r="O539">
        <v>3</v>
      </c>
      <c r="P539">
        <v>4</v>
      </c>
      <c r="Q539">
        <v>0</v>
      </c>
      <c r="R539">
        <v>24.18</v>
      </c>
      <c r="S539">
        <v>7</v>
      </c>
      <c r="T539">
        <v>7</v>
      </c>
      <c r="U539">
        <v>6</v>
      </c>
      <c r="V539">
        <v>0</v>
      </c>
      <c r="W539" t="s">
        <v>14</v>
      </c>
      <c r="X539">
        <v>37.18</v>
      </c>
    </row>
    <row r="540" spans="1:24" ht="15">
      <c r="A540">
        <v>533</v>
      </c>
      <c r="B540">
        <v>97399</v>
      </c>
      <c r="C540" t="s">
        <v>1508</v>
      </c>
      <c r="D540" t="s">
        <v>349</v>
      </c>
      <c r="E540" t="s">
        <v>27</v>
      </c>
      <c r="F540" t="str">
        <f>"00153489"</f>
        <v>00153489</v>
      </c>
      <c r="G540">
        <v>18.1</v>
      </c>
      <c r="H540">
        <v>0</v>
      </c>
      <c r="I540">
        <v>0</v>
      </c>
      <c r="J540">
        <v>0</v>
      </c>
      <c r="K540">
        <v>0</v>
      </c>
      <c r="L540">
        <v>7</v>
      </c>
      <c r="N540">
        <v>3</v>
      </c>
      <c r="O540">
        <v>10</v>
      </c>
      <c r="P540">
        <v>4</v>
      </c>
      <c r="Q540">
        <v>2</v>
      </c>
      <c r="R540">
        <v>34.1</v>
      </c>
      <c r="S540">
        <v>0</v>
      </c>
      <c r="T540">
        <v>0</v>
      </c>
      <c r="U540">
        <v>3</v>
      </c>
      <c r="V540">
        <v>0</v>
      </c>
      <c r="W540" t="s">
        <v>14</v>
      </c>
      <c r="X540">
        <v>37.1</v>
      </c>
    </row>
    <row r="541" spans="1:24" ht="15">
      <c r="A541">
        <v>534</v>
      </c>
      <c r="B541">
        <v>51138</v>
      </c>
      <c r="C541" t="s">
        <v>1510</v>
      </c>
      <c r="D541" t="s">
        <v>17</v>
      </c>
      <c r="E541" t="s">
        <v>1511</v>
      </c>
      <c r="F541" t="str">
        <f>"00621348"</f>
        <v>00621348</v>
      </c>
      <c r="G541">
        <v>17.03</v>
      </c>
      <c r="H541">
        <v>0</v>
      </c>
      <c r="I541">
        <v>0</v>
      </c>
      <c r="J541">
        <v>0</v>
      </c>
      <c r="K541">
        <v>0</v>
      </c>
      <c r="L541">
        <v>7</v>
      </c>
      <c r="O541">
        <v>7</v>
      </c>
      <c r="P541">
        <v>4</v>
      </c>
      <c r="Q541">
        <v>0</v>
      </c>
      <c r="R541">
        <v>28.03</v>
      </c>
      <c r="S541">
        <v>0</v>
      </c>
      <c r="T541">
        <v>0</v>
      </c>
      <c r="U541">
        <v>9</v>
      </c>
      <c r="V541">
        <v>0</v>
      </c>
      <c r="W541" t="s">
        <v>14</v>
      </c>
      <c r="X541">
        <v>37.03</v>
      </c>
    </row>
    <row r="542" spans="1:24" ht="15">
      <c r="A542">
        <v>535</v>
      </c>
      <c r="B542">
        <v>52629</v>
      </c>
      <c r="C542" t="s">
        <v>753</v>
      </c>
      <c r="D542" t="s">
        <v>91</v>
      </c>
      <c r="E542" t="s">
        <v>12</v>
      </c>
      <c r="F542" t="str">
        <f>"00192013"</f>
        <v>00192013</v>
      </c>
      <c r="G542">
        <v>18.85</v>
      </c>
      <c r="H542">
        <v>7</v>
      </c>
      <c r="I542">
        <v>0</v>
      </c>
      <c r="J542">
        <v>0</v>
      </c>
      <c r="K542">
        <v>0</v>
      </c>
      <c r="L542">
        <v>7</v>
      </c>
      <c r="O542">
        <v>7</v>
      </c>
      <c r="P542">
        <v>4</v>
      </c>
      <c r="Q542">
        <v>0</v>
      </c>
      <c r="R542">
        <v>36.85</v>
      </c>
      <c r="S542">
        <v>0</v>
      </c>
      <c r="T542">
        <v>0</v>
      </c>
      <c r="U542">
        <v>0</v>
      </c>
      <c r="V542">
        <v>0</v>
      </c>
      <c r="W542" t="s">
        <v>14</v>
      </c>
      <c r="X542">
        <v>36.85</v>
      </c>
    </row>
    <row r="543" spans="1:24" ht="15">
      <c r="A543">
        <v>536</v>
      </c>
      <c r="B543">
        <v>29501</v>
      </c>
      <c r="C543" t="s">
        <v>1514</v>
      </c>
      <c r="D543" t="s">
        <v>27</v>
      </c>
      <c r="E543" t="s">
        <v>111</v>
      </c>
      <c r="F543" t="str">
        <f>"00438505"</f>
        <v>00438505</v>
      </c>
      <c r="G543">
        <v>15.75</v>
      </c>
      <c r="H543">
        <v>0</v>
      </c>
      <c r="I543">
        <v>0</v>
      </c>
      <c r="J543">
        <v>0</v>
      </c>
      <c r="K543">
        <v>0</v>
      </c>
      <c r="L543">
        <v>7</v>
      </c>
      <c r="O543">
        <v>7</v>
      </c>
      <c r="P543">
        <v>4</v>
      </c>
      <c r="Q543">
        <v>0</v>
      </c>
      <c r="R543">
        <v>26.75</v>
      </c>
      <c r="S543">
        <v>1</v>
      </c>
      <c r="T543">
        <v>1</v>
      </c>
      <c r="U543">
        <v>9</v>
      </c>
      <c r="V543">
        <v>0</v>
      </c>
      <c r="W543" t="s">
        <v>14</v>
      </c>
      <c r="X543">
        <v>36.75</v>
      </c>
    </row>
    <row r="544" spans="1:24" ht="15">
      <c r="A544">
        <v>537</v>
      </c>
      <c r="B544">
        <v>74245</v>
      </c>
      <c r="C544" t="s">
        <v>1516</v>
      </c>
      <c r="D544" t="s">
        <v>69</v>
      </c>
      <c r="E544" t="s">
        <v>27</v>
      </c>
      <c r="F544" t="str">
        <f>"00613171"</f>
        <v>00613171</v>
      </c>
      <c r="G544">
        <v>19.68</v>
      </c>
      <c r="H544">
        <v>0</v>
      </c>
      <c r="I544">
        <v>0</v>
      </c>
      <c r="J544">
        <v>0</v>
      </c>
      <c r="K544">
        <v>0</v>
      </c>
      <c r="L544">
        <v>7</v>
      </c>
      <c r="N544">
        <v>3</v>
      </c>
      <c r="O544">
        <v>10</v>
      </c>
      <c r="P544">
        <v>4</v>
      </c>
      <c r="Q544">
        <v>0</v>
      </c>
      <c r="R544">
        <v>33.68</v>
      </c>
      <c r="S544">
        <v>0</v>
      </c>
      <c r="T544">
        <v>0</v>
      </c>
      <c r="U544">
        <v>3</v>
      </c>
      <c r="V544">
        <v>0</v>
      </c>
      <c r="W544" t="s">
        <v>14</v>
      </c>
      <c r="X544">
        <v>36.68</v>
      </c>
    </row>
    <row r="545" spans="1:24" ht="15">
      <c r="A545">
        <v>538</v>
      </c>
      <c r="B545">
        <v>28518</v>
      </c>
      <c r="C545" t="s">
        <v>1517</v>
      </c>
      <c r="D545" t="s">
        <v>558</v>
      </c>
      <c r="E545" t="s">
        <v>12</v>
      </c>
      <c r="F545" t="str">
        <f>"00602271"</f>
        <v>00602271</v>
      </c>
      <c r="G545">
        <v>19.6</v>
      </c>
      <c r="H545">
        <v>0</v>
      </c>
      <c r="I545">
        <v>0</v>
      </c>
      <c r="J545">
        <v>0</v>
      </c>
      <c r="K545">
        <v>0</v>
      </c>
      <c r="L545">
        <v>7</v>
      </c>
      <c r="N545">
        <v>3</v>
      </c>
      <c r="O545">
        <v>10</v>
      </c>
      <c r="P545">
        <v>4</v>
      </c>
      <c r="Q545">
        <v>0</v>
      </c>
      <c r="R545">
        <v>33.6</v>
      </c>
      <c r="S545">
        <v>0</v>
      </c>
      <c r="T545">
        <v>0</v>
      </c>
      <c r="U545">
        <v>3</v>
      </c>
      <c r="V545">
        <v>0</v>
      </c>
      <c r="W545" t="s">
        <v>14</v>
      </c>
      <c r="X545">
        <v>36.6</v>
      </c>
    </row>
    <row r="546" spans="1:24" ht="15">
      <c r="A546">
        <v>539</v>
      </c>
      <c r="B546">
        <v>99915</v>
      </c>
      <c r="C546" t="s">
        <v>1519</v>
      </c>
      <c r="D546" t="s">
        <v>746</v>
      </c>
      <c r="E546" t="s">
        <v>17</v>
      </c>
      <c r="F546" t="str">
        <f>"00627383"</f>
        <v>00627383</v>
      </c>
      <c r="G546">
        <v>16.4</v>
      </c>
      <c r="H546">
        <v>0</v>
      </c>
      <c r="I546">
        <v>0</v>
      </c>
      <c r="J546">
        <v>0</v>
      </c>
      <c r="K546">
        <v>0</v>
      </c>
      <c r="M546">
        <v>5</v>
      </c>
      <c r="N546">
        <v>3</v>
      </c>
      <c r="O546">
        <v>8</v>
      </c>
      <c r="P546">
        <v>4</v>
      </c>
      <c r="Q546">
        <v>2</v>
      </c>
      <c r="R546">
        <v>30.4</v>
      </c>
      <c r="S546">
        <v>3</v>
      </c>
      <c r="T546">
        <v>3</v>
      </c>
      <c r="U546">
        <v>3</v>
      </c>
      <c r="V546">
        <v>0</v>
      </c>
      <c r="W546" t="s">
        <v>14</v>
      </c>
      <c r="X546">
        <v>36.4</v>
      </c>
    </row>
    <row r="547" spans="1:24" ht="15">
      <c r="A547">
        <v>540</v>
      </c>
      <c r="B547">
        <v>86082</v>
      </c>
      <c r="C547" t="s">
        <v>1520</v>
      </c>
      <c r="D547" t="s">
        <v>75</v>
      </c>
      <c r="E547" t="s">
        <v>27</v>
      </c>
      <c r="F547" t="str">
        <f>"00095972"</f>
        <v>00095972</v>
      </c>
      <c r="G547">
        <v>19.38</v>
      </c>
      <c r="H547">
        <v>7</v>
      </c>
      <c r="I547">
        <v>0</v>
      </c>
      <c r="J547">
        <v>0</v>
      </c>
      <c r="K547">
        <v>0</v>
      </c>
      <c r="N547">
        <v>6</v>
      </c>
      <c r="O547">
        <v>6</v>
      </c>
      <c r="P547">
        <v>4</v>
      </c>
      <c r="Q547">
        <v>0</v>
      </c>
      <c r="R547">
        <v>36.38</v>
      </c>
      <c r="S547">
        <v>0</v>
      </c>
      <c r="T547">
        <v>0</v>
      </c>
      <c r="U547">
        <v>0</v>
      </c>
      <c r="V547">
        <v>0</v>
      </c>
      <c r="W547" t="s">
        <v>14</v>
      </c>
      <c r="X547">
        <v>36.38</v>
      </c>
    </row>
    <row r="548" spans="1:24" ht="15">
      <c r="A548">
        <v>541</v>
      </c>
      <c r="B548">
        <v>113702</v>
      </c>
      <c r="C548" t="s">
        <v>973</v>
      </c>
      <c r="D548" t="s">
        <v>305</v>
      </c>
      <c r="E548" t="s">
        <v>27</v>
      </c>
      <c r="F548" t="str">
        <f>"201410002093"</f>
        <v>201410002093</v>
      </c>
      <c r="G548">
        <v>19.13</v>
      </c>
      <c r="H548">
        <v>0</v>
      </c>
      <c r="I548">
        <v>0</v>
      </c>
      <c r="J548">
        <v>0</v>
      </c>
      <c r="K548">
        <v>0</v>
      </c>
      <c r="L548">
        <v>7</v>
      </c>
      <c r="O548">
        <v>7</v>
      </c>
      <c r="P548">
        <v>4</v>
      </c>
      <c r="Q548">
        <v>0</v>
      </c>
      <c r="R548">
        <v>30.13</v>
      </c>
      <c r="S548">
        <v>0</v>
      </c>
      <c r="T548">
        <v>0</v>
      </c>
      <c r="U548">
        <v>6</v>
      </c>
      <c r="V548">
        <v>0</v>
      </c>
      <c r="W548" t="s">
        <v>14</v>
      </c>
      <c r="X548">
        <v>36.13</v>
      </c>
    </row>
    <row r="549" spans="1:24" ht="15">
      <c r="A549">
        <v>542</v>
      </c>
      <c r="B549">
        <v>45726</v>
      </c>
      <c r="C549" t="s">
        <v>1525</v>
      </c>
      <c r="D549" t="s">
        <v>66</v>
      </c>
      <c r="E549" t="s">
        <v>120</v>
      </c>
      <c r="F549" t="str">
        <f>"00107514"</f>
        <v>00107514</v>
      </c>
      <c r="G549">
        <v>16.95</v>
      </c>
      <c r="H549">
        <v>0</v>
      </c>
      <c r="I549">
        <v>0</v>
      </c>
      <c r="J549">
        <v>0</v>
      </c>
      <c r="K549">
        <v>0</v>
      </c>
      <c r="L549">
        <v>7</v>
      </c>
      <c r="N549">
        <v>3</v>
      </c>
      <c r="O549">
        <v>10</v>
      </c>
      <c r="P549">
        <v>4</v>
      </c>
      <c r="Q549">
        <v>2</v>
      </c>
      <c r="R549">
        <v>32.95</v>
      </c>
      <c r="S549">
        <v>0</v>
      </c>
      <c r="T549">
        <v>0</v>
      </c>
      <c r="U549">
        <v>3</v>
      </c>
      <c r="V549">
        <v>0</v>
      </c>
      <c r="W549" t="s">
        <v>14</v>
      </c>
      <c r="X549">
        <v>35.95</v>
      </c>
    </row>
    <row r="550" spans="1:24" ht="15">
      <c r="A550">
        <v>543</v>
      </c>
      <c r="B550">
        <v>20274</v>
      </c>
      <c r="C550" t="s">
        <v>1526</v>
      </c>
      <c r="D550" t="s">
        <v>1469</v>
      </c>
      <c r="E550" t="s">
        <v>124</v>
      </c>
      <c r="F550" t="str">
        <f>"201504001377"</f>
        <v>201504001377</v>
      </c>
      <c r="G550">
        <v>17.78</v>
      </c>
      <c r="H550">
        <v>7</v>
      </c>
      <c r="I550">
        <v>0</v>
      </c>
      <c r="J550">
        <v>0</v>
      </c>
      <c r="K550">
        <v>0</v>
      </c>
      <c r="L550">
        <v>7</v>
      </c>
      <c r="O550">
        <v>7</v>
      </c>
      <c r="P550">
        <v>4</v>
      </c>
      <c r="Q550">
        <v>0</v>
      </c>
      <c r="R550">
        <v>35.78</v>
      </c>
      <c r="S550">
        <v>0</v>
      </c>
      <c r="T550">
        <v>0</v>
      </c>
      <c r="U550">
        <v>0</v>
      </c>
      <c r="V550">
        <v>0</v>
      </c>
      <c r="W550" t="s">
        <v>14</v>
      </c>
      <c r="X550">
        <v>35.78</v>
      </c>
    </row>
    <row r="551" spans="1:24" ht="15">
      <c r="A551">
        <v>544</v>
      </c>
      <c r="B551">
        <v>46662</v>
      </c>
      <c r="C551" t="s">
        <v>1528</v>
      </c>
      <c r="D551" t="s">
        <v>90</v>
      </c>
      <c r="E551" t="s">
        <v>27</v>
      </c>
      <c r="F551" t="str">
        <f>"00155733"</f>
        <v>00155733</v>
      </c>
      <c r="G551">
        <v>17.68</v>
      </c>
      <c r="H551">
        <v>0</v>
      </c>
      <c r="I551">
        <v>0</v>
      </c>
      <c r="J551">
        <v>0</v>
      </c>
      <c r="K551">
        <v>0</v>
      </c>
      <c r="N551">
        <v>6</v>
      </c>
      <c r="O551">
        <v>6</v>
      </c>
      <c r="P551">
        <v>4</v>
      </c>
      <c r="Q551">
        <v>2</v>
      </c>
      <c r="R551">
        <v>29.68</v>
      </c>
      <c r="S551">
        <v>0</v>
      </c>
      <c r="T551">
        <v>0</v>
      </c>
      <c r="U551">
        <v>6</v>
      </c>
      <c r="V551">
        <v>0</v>
      </c>
      <c r="W551" t="s">
        <v>14</v>
      </c>
      <c r="X551">
        <v>35.68</v>
      </c>
    </row>
    <row r="552" spans="1:24" ht="15">
      <c r="A552">
        <v>545</v>
      </c>
      <c r="B552">
        <v>11770</v>
      </c>
      <c r="C552" t="s">
        <v>1530</v>
      </c>
      <c r="D552" t="s">
        <v>17</v>
      </c>
      <c r="E552" t="s">
        <v>53</v>
      </c>
      <c r="F552" t="str">
        <f>"00579178"</f>
        <v>00579178</v>
      </c>
      <c r="G552">
        <v>18.6</v>
      </c>
      <c r="H552">
        <v>7</v>
      </c>
      <c r="I552">
        <v>0</v>
      </c>
      <c r="J552">
        <v>0</v>
      </c>
      <c r="K552">
        <v>0</v>
      </c>
      <c r="N552">
        <v>6</v>
      </c>
      <c r="O552">
        <v>6</v>
      </c>
      <c r="P552">
        <v>4</v>
      </c>
      <c r="Q552">
        <v>0</v>
      </c>
      <c r="R552">
        <v>35.6</v>
      </c>
      <c r="S552">
        <v>0</v>
      </c>
      <c r="T552">
        <v>0</v>
      </c>
      <c r="U552">
        <v>0</v>
      </c>
      <c r="V552">
        <v>0</v>
      </c>
      <c r="W552" t="s">
        <v>14</v>
      </c>
      <c r="X552">
        <v>35.6</v>
      </c>
    </row>
    <row r="553" spans="1:24" ht="15">
      <c r="A553">
        <v>546</v>
      </c>
      <c r="B553">
        <v>97846</v>
      </c>
      <c r="C553" t="s">
        <v>1532</v>
      </c>
      <c r="D553" t="s">
        <v>1533</v>
      </c>
      <c r="E553" t="s">
        <v>17</v>
      </c>
      <c r="F553" t="str">
        <f>"00528311"</f>
        <v>00528311</v>
      </c>
      <c r="G553">
        <v>16.48</v>
      </c>
      <c r="H553">
        <v>0</v>
      </c>
      <c r="I553">
        <v>0</v>
      </c>
      <c r="J553">
        <v>0</v>
      </c>
      <c r="K553">
        <v>0</v>
      </c>
      <c r="L553">
        <v>7</v>
      </c>
      <c r="O553">
        <v>7</v>
      </c>
      <c r="P553">
        <v>4</v>
      </c>
      <c r="Q553">
        <v>2</v>
      </c>
      <c r="R553">
        <v>29.48</v>
      </c>
      <c r="S553">
        <v>0</v>
      </c>
      <c r="T553">
        <v>0</v>
      </c>
      <c r="U553">
        <v>6</v>
      </c>
      <c r="V553">
        <v>0</v>
      </c>
      <c r="W553" t="s">
        <v>14</v>
      </c>
      <c r="X553">
        <v>35.48</v>
      </c>
    </row>
    <row r="554" spans="1:24" ht="15">
      <c r="A554">
        <v>547</v>
      </c>
      <c r="B554">
        <v>2550</v>
      </c>
      <c r="C554" t="s">
        <v>1536</v>
      </c>
      <c r="D554" t="s">
        <v>97</v>
      </c>
      <c r="E554" t="s">
        <v>53</v>
      </c>
      <c r="F554" t="str">
        <f>"00566821"</f>
        <v>00566821</v>
      </c>
      <c r="G554">
        <v>20.3</v>
      </c>
      <c r="H554">
        <v>7</v>
      </c>
      <c r="I554">
        <v>0</v>
      </c>
      <c r="J554">
        <v>0</v>
      </c>
      <c r="K554">
        <v>0</v>
      </c>
      <c r="N554">
        <v>3</v>
      </c>
      <c r="O554">
        <v>3</v>
      </c>
      <c r="P554">
        <v>0</v>
      </c>
      <c r="Q554">
        <v>0</v>
      </c>
      <c r="R554">
        <v>30.3</v>
      </c>
      <c r="S554">
        <v>2</v>
      </c>
      <c r="T554">
        <v>2</v>
      </c>
      <c r="U554">
        <v>3</v>
      </c>
      <c r="V554">
        <v>0</v>
      </c>
      <c r="W554" t="s">
        <v>14</v>
      </c>
      <c r="X554">
        <v>35.3</v>
      </c>
    </row>
    <row r="555" spans="1:24" ht="15">
      <c r="A555">
        <v>548</v>
      </c>
      <c r="B555">
        <v>42209</v>
      </c>
      <c r="C555" t="s">
        <v>993</v>
      </c>
      <c r="D555" t="s">
        <v>284</v>
      </c>
      <c r="E555" t="s">
        <v>13</v>
      </c>
      <c r="F555" t="str">
        <f>"201003000160"</f>
        <v>201003000160</v>
      </c>
      <c r="G555">
        <v>17.95</v>
      </c>
      <c r="H555">
        <v>0</v>
      </c>
      <c r="I555">
        <v>0</v>
      </c>
      <c r="J555">
        <v>0</v>
      </c>
      <c r="K555">
        <v>0</v>
      </c>
      <c r="L555">
        <v>7</v>
      </c>
      <c r="O555">
        <v>7</v>
      </c>
      <c r="P555">
        <v>4</v>
      </c>
      <c r="Q555">
        <v>0</v>
      </c>
      <c r="R555">
        <v>28.95</v>
      </c>
      <c r="S555">
        <v>0</v>
      </c>
      <c r="T555">
        <v>0</v>
      </c>
      <c r="U555">
        <v>6</v>
      </c>
      <c r="V555">
        <v>0</v>
      </c>
      <c r="W555" t="s">
        <v>14</v>
      </c>
      <c r="X555">
        <v>34.95</v>
      </c>
    </row>
    <row r="556" spans="1:24" ht="15">
      <c r="A556">
        <v>549</v>
      </c>
      <c r="B556">
        <v>41532</v>
      </c>
      <c r="C556" t="s">
        <v>1544</v>
      </c>
      <c r="D556" t="s">
        <v>29</v>
      </c>
      <c r="E556" t="s">
        <v>201</v>
      </c>
      <c r="F556" t="str">
        <f>"00613699"</f>
        <v>00613699</v>
      </c>
      <c r="G556">
        <v>18.75</v>
      </c>
      <c r="H556">
        <v>0</v>
      </c>
      <c r="I556">
        <v>0</v>
      </c>
      <c r="J556">
        <v>0</v>
      </c>
      <c r="K556">
        <v>0</v>
      </c>
      <c r="L556">
        <v>7</v>
      </c>
      <c r="N556">
        <v>3</v>
      </c>
      <c r="O556">
        <v>10</v>
      </c>
      <c r="P556">
        <v>0</v>
      </c>
      <c r="Q556">
        <v>0</v>
      </c>
      <c r="R556">
        <v>28.75</v>
      </c>
      <c r="S556">
        <v>0</v>
      </c>
      <c r="T556">
        <v>0</v>
      </c>
      <c r="U556">
        <v>6</v>
      </c>
      <c r="V556">
        <v>0</v>
      </c>
      <c r="W556" t="s">
        <v>14</v>
      </c>
      <c r="X556">
        <v>34.75</v>
      </c>
    </row>
    <row r="557" spans="1:24" ht="15">
      <c r="A557">
        <v>550</v>
      </c>
      <c r="B557">
        <v>2546</v>
      </c>
      <c r="C557" t="s">
        <v>1545</v>
      </c>
      <c r="D557" t="s">
        <v>201</v>
      </c>
      <c r="E557" t="s">
        <v>39</v>
      </c>
      <c r="F557" t="str">
        <f>"00334940"</f>
        <v>00334940</v>
      </c>
      <c r="G557">
        <v>15.75</v>
      </c>
      <c r="H557">
        <v>7</v>
      </c>
      <c r="I557">
        <v>0</v>
      </c>
      <c r="J557">
        <v>0</v>
      </c>
      <c r="K557">
        <v>0</v>
      </c>
      <c r="O557">
        <v>0</v>
      </c>
      <c r="P557">
        <v>4</v>
      </c>
      <c r="Q557">
        <v>0</v>
      </c>
      <c r="R557">
        <v>26.75</v>
      </c>
      <c r="S557">
        <v>8</v>
      </c>
      <c r="T557">
        <v>8</v>
      </c>
      <c r="U557">
        <v>0</v>
      </c>
      <c r="V557">
        <v>0</v>
      </c>
      <c r="W557" t="s">
        <v>14</v>
      </c>
      <c r="X557">
        <v>34.75</v>
      </c>
    </row>
    <row r="558" spans="1:24" ht="15">
      <c r="A558">
        <v>551</v>
      </c>
      <c r="B558">
        <v>83944</v>
      </c>
      <c r="C558" t="s">
        <v>1029</v>
      </c>
      <c r="D558" t="s">
        <v>512</v>
      </c>
      <c r="E558" t="s">
        <v>80</v>
      </c>
      <c r="F558" t="str">
        <f>"200801006856"</f>
        <v>200801006856</v>
      </c>
      <c r="G558">
        <v>16.63</v>
      </c>
      <c r="H558">
        <v>0</v>
      </c>
      <c r="I558">
        <v>0</v>
      </c>
      <c r="J558">
        <v>0</v>
      </c>
      <c r="K558">
        <v>0</v>
      </c>
      <c r="N558">
        <v>6</v>
      </c>
      <c r="O558">
        <v>6</v>
      </c>
      <c r="P558">
        <v>4</v>
      </c>
      <c r="Q558">
        <v>2</v>
      </c>
      <c r="R558">
        <v>28.63</v>
      </c>
      <c r="S558">
        <v>0</v>
      </c>
      <c r="T558">
        <v>0</v>
      </c>
      <c r="U558">
        <v>6</v>
      </c>
      <c r="V558">
        <v>0</v>
      </c>
      <c r="W558" t="s">
        <v>14</v>
      </c>
      <c r="X558">
        <v>34.63</v>
      </c>
    </row>
    <row r="559" spans="1:24" ht="15">
      <c r="A559">
        <v>552</v>
      </c>
      <c r="B559">
        <v>45977</v>
      </c>
      <c r="C559" t="s">
        <v>1546</v>
      </c>
      <c r="D559" t="s">
        <v>741</v>
      </c>
      <c r="E559" t="s">
        <v>23</v>
      </c>
      <c r="F559" t="str">
        <f>"00617869"</f>
        <v>00617869</v>
      </c>
      <c r="G559">
        <v>18.6</v>
      </c>
      <c r="H559">
        <v>0</v>
      </c>
      <c r="I559">
        <v>0</v>
      </c>
      <c r="J559">
        <v>0</v>
      </c>
      <c r="K559">
        <v>0</v>
      </c>
      <c r="N559">
        <v>3</v>
      </c>
      <c r="O559">
        <v>3</v>
      </c>
      <c r="P559">
        <v>4</v>
      </c>
      <c r="Q559">
        <v>0</v>
      </c>
      <c r="R559">
        <v>25.6</v>
      </c>
      <c r="S559">
        <v>0</v>
      </c>
      <c r="T559">
        <v>0</v>
      </c>
      <c r="U559">
        <v>9</v>
      </c>
      <c r="V559">
        <v>0</v>
      </c>
      <c r="W559" t="s">
        <v>14</v>
      </c>
      <c r="X559">
        <v>34.6</v>
      </c>
    </row>
    <row r="560" spans="1:24" ht="15">
      <c r="A560">
        <v>553</v>
      </c>
      <c r="B560">
        <v>77181</v>
      </c>
      <c r="C560" t="s">
        <v>1548</v>
      </c>
      <c r="D560" t="s">
        <v>88</v>
      </c>
      <c r="E560" t="s">
        <v>53</v>
      </c>
      <c r="F560" t="str">
        <f>"200802007457"</f>
        <v>200802007457</v>
      </c>
      <c r="G560">
        <v>15.5</v>
      </c>
      <c r="H560">
        <v>7</v>
      </c>
      <c r="I560">
        <v>0</v>
      </c>
      <c r="J560">
        <v>0</v>
      </c>
      <c r="K560">
        <v>0</v>
      </c>
      <c r="N560">
        <v>3</v>
      </c>
      <c r="O560">
        <v>3</v>
      </c>
      <c r="P560">
        <v>4</v>
      </c>
      <c r="Q560">
        <v>2</v>
      </c>
      <c r="R560">
        <v>31.5</v>
      </c>
      <c r="S560">
        <v>3</v>
      </c>
      <c r="T560">
        <v>3</v>
      </c>
      <c r="U560">
        <v>0</v>
      </c>
      <c r="V560">
        <v>0</v>
      </c>
      <c r="W560" t="s">
        <v>14</v>
      </c>
      <c r="X560">
        <v>34.5</v>
      </c>
    </row>
    <row r="561" spans="1:24" ht="15">
      <c r="A561">
        <v>554</v>
      </c>
      <c r="B561">
        <v>5109</v>
      </c>
      <c r="C561" t="s">
        <v>1549</v>
      </c>
      <c r="D561" t="s">
        <v>29</v>
      </c>
      <c r="E561" t="s">
        <v>12</v>
      </c>
      <c r="F561" t="str">
        <f>"201412000556"</f>
        <v>201412000556</v>
      </c>
      <c r="G561">
        <v>17.45</v>
      </c>
      <c r="H561">
        <v>0</v>
      </c>
      <c r="I561">
        <v>0</v>
      </c>
      <c r="J561">
        <v>0</v>
      </c>
      <c r="K561">
        <v>0</v>
      </c>
      <c r="L561">
        <v>7</v>
      </c>
      <c r="O561">
        <v>7</v>
      </c>
      <c r="P561">
        <v>4</v>
      </c>
      <c r="Q561">
        <v>0</v>
      </c>
      <c r="R561">
        <v>28.45</v>
      </c>
      <c r="S561">
        <v>0</v>
      </c>
      <c r="T561">
        <v>0</v>
      </c>
      <c r="U561">
        <v>6</v>
      </c>
      <c r="V561">
        <v>0</v>
      </c>
      <c r="W561" t="s">
        <v>14</v>
      </c>
      <c r="X561">
        <v>34.45</v>
      </c>
    </row>
    <row r="562" spans="1:24" ht="15">
      <c r="A562">
        <v>555</v>
      </c>
      <c r="B562">
        <v>93669</v>
      </c>
      <c r="C562" t="s">
        <v>1551</v>
      </c>
      <c r="D562" t="s">
        <v>1552</v>
      </c>
      <c r="E562" t="s">
        <v>507</v>
      </c>
      <c r="F562" t="str">
        <f>"00639393"</f>
        <v>00639393</v>
      </c>
      <c r="G562">
        <v>20.4</v>
      </c>
      <c r="H562">
        <v>0</v>
      </c>
      <c r="I562">
        <v>0</v>
      </c>
      <c r="J562">
        <v>0</v>
      </c>
      <c r="K562">
        <v>0</v>
      </c>
      <c r="L562">
        <v>7</v>
      </c>
      <c r="N562">
        <v>3</v>
      </c>
      <c r="O562">
        <v>10</v>
      </c>
      <c r="P562">
        <v>4</v>
      </c>
      <c r="Q562">
        <v>0</v>
      </c>
      <c r="R562">
        <v>34.4</v>
      </c>
      <c r="S562">
        <v>0</v>
      </c>
      <c r="T562">
        <v>0</v>
      </c>
      <c r="U562">
        <v>0</v>
      </c>
      <c r="V562">
        <v>0</v>
      </c>
      <c r="W562" t="s">
        <v>14</v>
      </c>
      <c r="X562">
        <v>34.4</v>
      </c>
    </row>
    <row r="563" spans="1:24" ht="15">
      <c r="A563">
        <v>556</v>
      </c>
      <c r="B563">
        <v>105007</v>
      </c>
      <c r="C563" t="s">
        <v>1553</v>
      </c>
      <c r="D563" t="s">
        <v>370</v>
      </c>
      <c r="E563" t="s">
        <v>17</v>
      </c>
      <c r="F563" t="str">
        <f>"00258609"</f>
        <v>00258609</v>
      </c>
      <c r="G563">
        <v>20.3</v>
      </c>
      <c r="H563">
        <v>0</v>
      </c>
      <c r="I563">
        <v>0</v>
      </c>
      <c r="J563">
        <v>0</v>
      </c>
      <c r="K563">
        <v>0</v>
      </c>
      <c r="N563">
        <v>3</v>
      </c>
      <c r="O563">
        <v>3</v>
      </c>
      <c r="P563">
        <v>4</v>
      </c>
      <c r="Q563">
        <v>0</v>
      </c>
      <c r="R563">
        <v>27.3</v>
      </c>
      <c r="S563">
        <v>4</v>
      </c>
      <c r="T563">
        <v>4</v>
      </c>
      <c r="U563">
        <v>3</v>
      </c>
      <c r="V563">
        <v>0</v>
      </c>
      <c r="W563" t="s">
        <v>14</v>
      </c>
      <c r="X563">
        <v>34.3</v>
      </c>
    </row>
    <row r="564" spans="1:24" ht="15">
      <c r="A564">
        <v>557</v>
      </c>
      <c r="B564">
        <v>115477</v>
      </c>
      <c r="C564" t="s">
        <v>1554</v>
      </c>
      <c r="D564" t="s">
        <v>252</v>
      </c>
      <c r="E564" t="s">
        <v>53</v>
      </c>
      <c r="F564" t="str">
        <f>"201501000099"</f>
        <v>201501000099</v>
      </c>
      <c r="G564">
        <v>16.25</v>
      </c>
      <c r="H564">
        <v>7</v>
      </c>
      <c r="I564">
        <v>0</v>
      </c>
      <c r="J564">
        <v>0</v>
      </c>
      <c r="K564">
        <v>0</v>
      </c>
      <c r="L564">
        <v>7</v>
      </c>
      <c r="O564">
        <v>7</v>
      </c>
      <c r="P564">
        <v>4</v>
      </c>
      <c r="Q564">
        <v>0</v>
      </c>
      <c r="R564">
        <v>34.25</v>
      </c>
      <c r="S564">
        <v>0</v>
      </c>
      <c r="T564">
        <v>0</v>
      </c>
      <c r="U564">
        <v>0</v>
      </c>
      <c r="V564">
        <v>0</v>
      </c>
      <c r="W564" t="s">
        <v>14</v>
      </c>
      <c r="X564">
        <v>34.25</v>
      </c>
    </row>
    <row r="565" spans="1:24" ht="15">
      <c r="A565">
        <v>558</v>
      </c>
      <c r="B565">
        <v>25588</v>
      </c>
      <c r="C565" t="s">
        <v>1556</v>
      </c>
      <c r="D565" t="s">
        <v>29</v>
      </c>
      <c r="E565" t="s">
        <v>27</v>
      </c>
      <c r="F565" t="str">
        <f>"200811000222"</f>
        <v>200811000222</v>
      </c>
      <c r="G565">
        <v>16.18</v>
      </c>
      <c r="H565">
        <v>0</v>
      </c>
      <c r="I565">
        <v>0</v>
      </c>
      <c r="J565">
        <v>0</v>
      </c>
      <c r="K565">
        <v>0</v>
      </c>
      <c r="N565">
        <v>6</v>
      </c>
      <c r="O565">
        <v>6</v>
      </c>
      <c r="P565">
        <v>4</v>
      </c>
      <c r="Q565">
        <v>2</v>
      </c>
      <c r="R565">
        <v>28.18</v>
      </c>
      <c r="S565">
        <v>0</v>
      </c>
      <c r="T565">
        <v>0</v>
      </c>
      <c r="U565">
        <v>6</v>
      </c>
      <c r="V565">
        <v>0</v>
      </c>
      <c r="W565" t="s">
        <v>14</v>
      </c>
      <c r="X565">
        <v>34.18</v>
      </c>
    </row>
    <row r="566" spans="1:24" ht="15">
      <c r="A566">
        <v>559</v>
      </c>
      <c r="B566">
        <v>100362</v>
      </c>
      <c r="C566" t="s">
        <v>1558</v>
      </c>
      <c r="D566" t="s">
        <v>234</v>
      </c>
      <c r="E566" t="s">
        <v>1540</v>
      </c>
      <c r="F566" t="str">
        <f>"00602209"</f>
        <v>00602209</v>
      </c>
      <c r="G566">
        <v>18.1</v>
      </c>
      <c r="H566">
        <v>0</v>
      </c>
      <c r="I566">
        <v>0</v>
      </c>
      <c r="J566">
        <v>0</v>
      </c>
      <c r="K566">
        <v>0</v>
      </c>
      <c r="L566">
        <v>7</v>
      </c>
      <c r="M566">
        <v>5</v>
      </c>
      <c r="O566">
        <v>12</v>
      </c>
      <c r="P566">
        <v>4</v>
      </c>
      <c r="Q566">
        <v>0</v>
      </c>
      <c r="R566">
        <v>34.1</v>
      </c>
      <c r="S566">
        <v>0</v>
      </c>
      <c r="T566">
        <v>0</v>
      </c>
      <c r="U566">
        <v>0</v>
      </c>
      <c r="V566">
        <v>0</v>
      </c>
      <c r="W566" t="s">
        <v>14</v>
      </c>
      <c r="X566">
        <v>34.1</v>
      </c>
    </row>
    <row r="567" spans="1:24" ht="15">
      <c r="A567">
        <v>560</v>
      </c>
      <c r="B567">
        <v>12985</v>
      </c>
      <c r="C567" t="s">
        <v>1364</v>
      </c>
      <c r="D567" t="s">
        <v>106</v>
      </c>
      <c r="E567" t="s">
        <v>27</v>
      </c>
      <c r="F567" t="str">
        <f>"00510133"</f>
        <v>00510133</v>
      </c>
      <c r="G567">
        <v>19.88</v>
      </c>
      <c r="H567">
        <v>0</v>
      </c>
      <c r="I567">
        <v>0</v>
      </c>
      <c r="J567">
        <v>0</v>
      </c>
      <c r="K567">
        <v>0</v>
      </c>
      <c r="L567">
        <v>7</v>
      </c>
      <c r="N567">
        <v>3</v>
      </c>
      <c r="O567">
        <v>10</v>
      </c>
      <c r="P567">
        <v>4</v>
      </c>
      <c r="Q567">
        <v>0</v>
      </c>
      <c r="R567">
        <v>33.88</v>
      </c>
      <c r="S567">
        <v>0</v>
      </c>
      <c r="T567">
        <v>0</v>
      </c>
      <c r="U567">
        <v>0</v>
      </c>
      <c r="V567">
        <v>0</v>
      </c>
      <c r="W567" t="s">
        <v>14</v>
      </c>
      <c r="X567">
        <v>33.88</v>
      </c>
    </row>
    <row r="568" spans="1:24" ht="15">
      <c r="A568">
        <v>561</v>
      </c>
      <c r="B568">
        <v>54450</v>
      </c>
      <c r="C568" t="s">
        <v>1559</v>
      </c>
      <c r="D568" t="s">
        <v>53</v>
      </c>
      <c r="E568" t="s">
        <v>124</v>
      </c>
      <c r="F568" t="str">
        <f>"200901000878"</f>
        <v>200901000878</v>
      </c>
      <c r="G568">
        <v>18.85</v>
      </c>
      <c r="H568">
        <v>0</v>
      </c>
      <c r="I568">
        <v>0</v>
      </c>
      <c r="J568">
        <v>0</v>
      </c>
      <c r="K568">
        <v>0</v>
      </c>
      <c r="O568">
        <v>0</v>
      </c>
      <c r="P568">
        <v>4</v>
      </c>
      <c r="Q568">
        <v>0</v>
      </c>
      <c r="R568">
        <v>22.85</v>
      </c>
      <c r="S568">
        <v>8</v>
      </c>
      <c r="T568">
        <v>8</v>
      </c>
      <c r="U568">
        <v>3</v>
      </c>
      <c r="V568">
        <v>0</v>
      </c>
      <c r="W568" t="s">
        <v>14</v>
      </c>
      <c r="X568">
        <v>33.85</v>
      </c>
    </row>
    <row r="569" spans="1:24" ht="15">
      <c r="A569">
        <v>562</v>
      </c>
      <c r="B569">
        <v>49858</v>
      </c>
      <c r="C569" t="s">
        <v>1565</v>
      </c>
      <c r="D569" t="s">
        <v>873</v>
      </c>
      <c r="E569" t="s">
        <v>44</v>
      </c>
      <c r="F569" t="str">
        <f>"00182506"</f>
        <v>00182506</v>
      </c>
      <c r="G569">
        <v>18.5</v>
      </c>
      <c r="H569">
        <v>0</v>
      </c>
      <c r="I569">
        <v>0</v>
      </c>
      <c r="J569">
        <v>0</v>
      </c>
      <c r="K569">
        <v>0</v>
      </c>
      <c r="N569">
        <v>3</v>
      </c>
      <c r="O569">
        <v>3</v>
      </c>
      <c r="P569">
        <v>4</v>
      </c>
      <c r="Q569">
        <v>2</v>
      </c>
      <c r="R569">
        <v>27.5</v>
      </c>
      <c r="S569">
        <v>0</v>
      </c>
      <c r="T569">
        <v>0</v>
      </c>
      <c r="U569">
        <v>6</v>
      </c>
      <c r="V569">
        <v>0</v>
      </c>
      <c r="W569" t="s">
        <v>14</v>
      </c>
      <c r="X569">
        <v>33.5</v>
      </c>
    </row>
    <row r="570" spans="1:24" ht="15">
      <c r="A570">
        <v>563</v>
      </c>
      <c r="B570">
        <v>106375</v>
      </c>
      <c r="C570" t="s">
        <v>1567</v>
      </c>
      <c r="D570" t="s">
        <v>29</v>
      </c>
      <c r="E570" t="s">
        <v>1568</v>
      </c>
      <c r="F570" t="str">
        <f>"00550771"</f>
        <v>00550771</v>
      </c>
      <c r="G570">
        <v>18.45</v>
      </c>
      <c r="H570">
        <v>0</v>
      </c>
      <c r="I570">
        <v>0</v>
      </c>
      <c r="J570">
        <v>0</v>
      </c>
      <c r="K570">
        <v>0</v>
      </c>
      <c r="N570">
        <v>3</v>
      </c>
      <c r="O570">
        <v>3</v>
      </c>
      <c r="P570">
        <v>4</v>
      </c>
      <c r="Q570">
        <v>0</v>
      </c>
      <c r="R570">
        <v>25.45</v>
      </c>
      <c r="S570">
        <v>2</v>
      </c>
      <c r="T570">
        <v>2</v>
      </c>
      <c r="U570">
        <v>6</v>
      </c>
      <c r="V570">
        <v>0</v>
      </c>
      <c r="W570" t="s">
        <v>14</v>
      </c>
      <c r="X570">
        <v>33.45</v>
      </c>
    </row>
    <row r="571" spans="1:24" ht="15">
      <c r="A571">
        <v>564</v>
      </c>
      <c r="B571">
        <v>15138</v>
      </c>
      <c r="C571" t="s">
        <v>1569</v>
      </c>
      <c r="D571" t="s">
        <v>180</v>
      </c>
      <c r="E571" t="s">
        <v>12</v>
      </c>
      <c r="F571" t="str">
        <f>"00513505"</f>
        <v>00513505</v>
      </c>
      <c r="G571">
        <v>17.4</v>
      </c>
      <c r="H571">
        <v>0</v>
      </c>
      <c r="I571">
        <v>0</v>
      </c>
      <c r="J571">
        <v>0</v>
      </c>
      <c r="K571">
        <v>0</v>
      </c>
      <c r="O571">
        <v>0</v>
      </c>
      <c r="P571">
        <v>4</v>
      </c>
      <c r="Q571">
        <v>0</v>
      </c>
      <c r="R571">
        <v>21.4</v>
      </c>
      <c r="S571">
        <v>9</v>
      </c>
      <c r="T571">
        <v>9</v>
      </c>
      <c r="U571">
        <v>3</v>
      </c>
      <c r="V571">
        <v>0</v>
      </c>
      <c r="W571" t="s">
        <v>14</v>
      </c>
      <c r="X571">
        <v>33.4</v>
      </c>
    </row>
    <row r="572" spans="1:24" ht="15">
      <c r="A572">
        <v>565</v>
      </c>
      <c r="B572">
        <v>4371</v>
      </c>
      <c r="C572" t="s">
        <v>1573</v>
      </c>
      <c r="D572" t="s">
        <v>153</v>
      </c>
      <c r="E572" t="s">
        <v>12</v>
      </c>
      <c r="F572" t="str">
        <f>"200902000725"</f>
        <v>200902000725</v>
      </c>
      <c r="G572">
        <v>15.25</v>
      </c>
      <c r="H572">
        <v>0</v>
      </c>
      <c r="I572">
        <v>0</v>
      </c>
      <c r="J572">
        <v>0</v>
      </c>
      <c r="K572">
        <v>0</v>
      </c>
      <c r="N572">
        <v>3</v>
      </c>
      <c r="O572">
        <v>3</v>
      </c>
      <c r="P572">
        <v>4</v>
      </c>
      <c r="Q572">
        <v>2</v>
      </c>
      <c r="R572">
        <v>24.25</v>
      </c>
      <c r="S572">
        <v>0</v>
      </c>
      <c r="T572">
        <v>0</v>
      </c>
      <c r="U572">
        <v>9</v>
      </c>
      <c r="V572">
        <v>0</v>
      </c>
      <c r="W572" t="s">
        <v>14</v>
      </c>
      <c r="X572">
        <v>33.25</v>
      </c>
    </row>
    <row r="573" spans="1:24" ht="15">
      <c r="A573">
        <v>566</v>
      </c>
      <c r="B573">
        <v>74524</v>
      </c>
      <c r="C573" t="s">
        <v>1576</v>
      </c>
      <c r="D573" t="s">
        <v>454</v>
      </c>
      <c r="E573" t="s">
        <v>21</v>
      </c>
      <c r="F573" t="str">
        <f>"00200734"</f>
        <v>00200734</v>
      </c>
      <c r="G573">
        <v>16.2</v>
      </c>
      <c r="H573">
        <v>0</v>
      </c>
      <c r="I573">
        <v>0</v>
      </c>
      <c r="J573">
        <v>0</v>
      </c>
      <c r="K573">
        <v>0</v>
      </c>
      <c r="L573">
        <v>7</v>
      </c>
      <c r="O573">
        <v>7</v>
      </c>
      <c r="P573">
        <v>4</v>
      </c>
      <c r="Q573">
        <v>0</v>
      </c>
      <c r="R573">
        <v>27.2</v>
      </c>
      <c r="S573">
        <v>0</v>
      </c>
      <c r="T573">
        <v>0</v>
      </c>
      <c r="U573">
        <v>6</v>
      </c>
      <c r="V573">
        <v>0</v>
      </c>
      <c r="W573" t="s">
        <v>14</v>
      </c>
      <c r="X573">
        <v>33.2</v>
      </c>
    </row>
    <row r="574" spans="1:24" ht="15">
      <c r="A574">
        <v>567</v>
      </c>
      <c r="B574">
        <v>70170</v>
      </c>
      <c r="C574" t="s">
        <v>476</v>
      </c>
      <c r="D574" t="s">
        <v>75</v>
      </c>
      <c r="E574" t="s">
        <v>53</v>
      </c>
      <c r="F574" t="str">
        <f>"00483904"</f>
        <v>00483904</v>
      </c>
      <c r="G574">
        <v>20.13</v>
      </c>
      <c r="H574">
        <v>0</v>
      </c>
      <c r="I574">
        <v>0</v>
      </c>
      <c r="J574">
        <v>0</v>
      </c>
      <c r="K574">
        <v>0</v>
      </c>
      <c r="N574">
        <v>3</v>
      </c>
      <c r="O574">
        <v>3</v>
      </c>
      <c r="P574">
        <v>4</v>
      </c>
      <c r="Q574">
        <v>0</v>
      </c>
      <c r="R574">
        <v>27.13</v>
      </c>
      <c r="S574">
        <v>0</v>
      </c>
      <c r="T574">
        <v>0</v>
      </c>
      <c r="U574">
        <v>6</v>
      </c>
      <c r="V574">
        <v>0</v>
      </c>
      <c r="W574" t="s">
        <v>14</v>
      </c>
      <c r="X574">
        <v>33.13</v>
      </c>
    </row>
    <row r="575" spans="1:24" ht="15">
      <c r="A575">
        <v>568</v>
      </c>
      <c r="B575">
        <v>15641</v>
      </c>
      <c r="C575" t="s">
        <v>438</v>
      </c>
      <c r="D575" t="s">
        <v>153</v>
      </c>
      <c r="E575" t="s">
        <v>469</v>
      </c>
      <c r="F575" t="str">
        <f>"00600560"</f>
        <v>00600560</v>
      </c>
      <c r="G575">
        <v>17.03</v>
      </c>
      <c r="H575">
        <v>0</v>
      </c>
      <c r="I575">
        <v>0</v>
      </c>
      <c r="J575">
        <v>0</v>
      </c>
      <c r="K575">
        <v>0</v>
      </c>
      <c r="N575">
        <v>3</v>
      </c>
      <c r="O575">
        <v>3</v>
      </c>
      <c r="P575">
        <v>4</v>
      </c>
      <c r="Q575">
        <v>0</v>
      </c>
      <c r="R575">
        <v>24.03</v>
      </c>
      <c r="S575">
        <v>0</v>
      </c>
      <c r="T575">
        <v>0</v>
      </c>
      <c r="U575">
        <v>9</v>
      </c>
      <c r="V575">
        <v>0</v>
      </c>
      <c r="W575" t="s">
        <v>14</v>
      </c>
      <c r="X575">
        <v>33.03</v>
      </c>
    </row>
    <row r="576" spans="1:24" ht="15">
      <c r="A576">
        <v>569</v>
      </c>
      <c r="B576">
        <v>57181</v>
      </c>
      <c r="C576" t="s">
        <v>1578</v>
      </c>
      <c r="D576" t="s">
        <v>683</v>
      </c>
      <c r="E576" t="s">
        <v>20</v>
      </c>
      <c r="F576" t="str">
        <f>"00624439"</f>
        <v>00624439</v>
      </c>
      <c r="G576">
        <v>19.03</v>
      </c>
      <c r="H576">
        <v>0</v>
      </c>
      <c r="I576">
        <v>0</v>
      </c>
      <c r="J576">
        <v>0</v>
      </c>
      <c r="K576">
        <v>0</v>
      </c>
      <c r="L576">
        <v>7</v>
      </c>
      <c r="N576">
        <v>3</v>
      </c>
      <c r="O576">
        <v>10</v>
      </c>
      <c r="P576">
        <v>4</v>
      </c>
      <c r="Q576">
        <v>0</v>
      </c>
      <c r="R576">
        <v>33.03</v>
      </c>
      <c r="S576">
        <v>0</v>
      </c>
      <c r="T576">
        <v>0</v>
      </c>
      <c r="U576">
        <v>0</v>
      </c>
      <c r="V576">
        <v>0</v>
      </c>
      <c r="W576" t="s">
        <v>14</v>
      </c>
      <c r="X576">
        <v>33.03</v>
      </c>
    </row>
    <row r="577" spans="1:24" ht="15">
      <c r="A577">
        <v>570</v>
      </c>
      <c r="B577">
        <v>49367</v>
      </c>
      <c r="C577" t="s">
        <v>1584</v>
      </c>
      <c r="D577" t="s">
        <v>97</v>
      </c>
      <c r="E577" t="s">
        <v>21</v>
      </c>
      <c r="F577" t="str">
        <f>"00619757"</f>
        <v>00619757</v>
      </c>
      <c r="G577">
        <v>19.78</v>
      </c>
      <c r="H577">
        <v>0</v>
      </c>
      <c r="I577">
        <v>0</v>
      </c>
      <c r="J577">
        <v>0</v>
      </c>
      <c r="K577">
        <v>0</v>
      </c>
      <c r="N577">
        <v>3</v>
      </c>
      <c r="O577">
        <v>3</v>
      </c>
      <c r="P577">
        <v>4</v>
      </c>
      <c r="Q577">
        <v>0</v>
      </c>
      <c r="R577">
        <v>26.78</v>
      </c>
      <c r="S577">
        <v>0</v>
      </c>
      <c r="T577">
        <v>0</v>
      </c>
      <c r="U577">
        <v>6</v>
      </c>
      <c r="V577">
        <v>0</v>
      </c>
      <c r="W577" t="s">
        <v>14</v>
      </c>
      <c r="X577">
        <v>32.78</v>
      </c>
    </row>
    <row r="578" spans="1:24" ht="15">
      <c r="A578">
        <v>571</v>
      </c>
      <c r="B578">
        <v>48516</v>
      </c>
      <c r="C578" t="s">
        <v>1588</v>
      </c>
      <c r="D578" t="s">
        <v>155</v>
      </c>
      <c r="E578" t="s">
        <v>397</v>
      </c>
      <c r="F578" t="str">
        <f>"200712005411"</f>
        <v>200712005411</v>
      </c>
      <c r="G578">
        <v>16.73</v>
      </c>
      <c r="H578">
        <v>0</v>
      </c>
      <c r="I578">
        <v>0</v>
      </c>
      <c r="J578">
        <v>0</v>
      </c>
      <c r="K578">
        <v>0</v>
      </c>
      <c r="N578">
        <v>6</v>
      </c>
      <c r="O578">
        <v>6</v>
      </c>
      <c r="P578">
        <v>4</v>
      </c>
      <c r="Q578">
        <v>0</v>
      </c>
      <c r="R578">
        <v>26.73</v>
      </c>
      <c r="S578">
        <v>0</v>
      </c>
      <c r="T578">
        <v>0</v>
      </c>
      <c r="U578">
        <v>6</v>
      </c>
      <c r="V578">
        <v>0</v>
      </c>
      <c r="W578" t="s">
        <v>14</v>
      </c>
      <c r="X578">
        <v>32.73</v>
      </c>
    </row>
    <row r="579" spans="1:24" ht="15">
      <c r="A579">
        <v>572</v>
      </c>
      <c r="B579">
        <v>37520</v>
      </c>
      <c r="C579" t="s">
        <v>1592</v>
      </c>
      <c r="D579" t="s">
        <v>1593</v>
      </c>
      <c r="E579" t="s">
        <v>60</v>
      </c>
      <c r="F579" t="str">
        <f>"00622820"</f>
        <v>00622820</v>
      </c>
      <c r="G579">
        <v>15.65</v>
      </c>
      <c r="H579">
        <v>0</v>
      </c>
      <c r="I579">
        <v>0</v>
      </c>
      <c r="J579">
        <v>0</v>
      </c>
      <c r="K579">
        <v>0</v>
      </c>
      <c r="L579">
        <v>7</v>
      </c>
      <c r="O579">
        <v>7</v>
      </c>
      <c r="P579">
        <v>4</v>
      </c>
      <c r="Q579">
        <v>0</v>
      </c>
      <c r="R579">
        <v>26.65</v>
      </c>
      <c r="S579">
        <v>0</v>
      </c>
      <c r="T579">
        <v>0</v>
      </c>
      <c r="U579">
        <v>6</v>
      </c>
      <c r="V579">
        <v>0</v>
      </c>
      <c r="W579" t="s">
        <v>14</v>
      </c>
      <c r="X579">
        <v>32.65</v>
      </c>
    </row>
    <row r="580" spans="1:24" ht="15">
      <c r="A580">
        <v>573</v>
      </c>
      <c r="B580">
        <v>47638</v>
      </c>
      <c r="C580" t="s">
        <v>1600</v>
      </c>
      <c r="D580" t="s">
        <v>1601</v>
      </c>
      <c r="E580" t="s">
        <v>111</v>
      </c>
      <c r="F580" t="str">
        <f>"00551340"</f>
        <v>00551340</v>
      </c>
      <c r="G580">
        <v>16.5</v>
      </c>
      <c r="H580">
        <v>0</v>
      </c>
      <c r="I580">
        <v>0</v>
      </c>
      <c r="J580">
        <v>0</v>
      </c>
      <c r="K580">
        <v>0</v>
      </c>
      <c r="N580">
        <v>3</v>
      </c>
      <c r="O580">
        <v>3</v>
      </c>
      <c r="P580">
        <v>4</v>
      </c>
      <c r="Q580">
        <v>0</v>
      </c>
      <c r="R580">
        <v>23.5</v>
      </c>
      <c r="S580">
        <v>0</v>
      </c>
      <c r="T580">
        <v>0</v>
      </c>
      <c r="U580">
        <v>9</v>
      </c>
      <c r="V580">
        <v>0</v>
      </c>
      <c r="W580" t="s">
        <v>14</v>
      </c>
      <c r="X580">
        <v>32.5</v>
      </c>
    </row>
    <row r="581" spans="1:24" ht="15">
      <c r="A581">
        <v>574</v>
      </c>
      <c r="B581">
        <v>36565</v>
      </c>
      <c r="C581" t="s">
        <v>1603</v>
      </c>
      <c r="D581" t="s">
        <v>153</v>
      </c>
      <c r="E581" t="s">
        <v>284</v>
      </c>
      <c r="F581" t="str">
        <f>"00618653"</f>
        <v>00618653</v>
      </c>
      <c r="G581">
        <v>18.43</v>
      </c>
      <c r="H581">
        <v>0</v>
      </c>
      <c r="I581">
        <v>0</v>
      </c>
      <c r="J581">
        <v>0</v>
      </c>
      <c r="K581">
        <v>0</v>
      </c>
      <c r="L581">
        <v>7</v>
      </c>
      <c r="O581">
        <v>7</v>
      </c>
      <c r="P581">
        <v>4</v>
      </c>
      <c r="Q581">
        <v>0</v>
      </c>
      <c r="R581">
        <v>29.43</v>
      </c>
      <c r="S581">
        <v>0</v>
      </c>
      <c r="T581">
        <v>0</v>
      </c>
      <c r="U581">
        <v>3</v>
      </c>
      <c r="V581">
        <v>0</v>
      </c>
      <c r="W581" t="s">
        <v>14</v>
      </c>
      <c r="X581">
        <v>32.43</v>
      </c>
    </row>
    <row r="582" spans="1:24" ht="15">
      <c r="A582">
        <v>575</v>
      </c>
      <c r="B582">
        <v>15935</v>
      </c>
      <c r="C582" t="s">
        <v>1604</v>
      </c>
      <c r="D582" t="s">
        <v>1605</v>
      </c>
      <c r="E582" t="s">
        <v>21</v>
      </c>
      <c r="F582" t="str">
        <f>"201410000487"</f>
        <v>201410000487</v>
      </c>
      <c r="G582">
        <v>18.43</v>
      </c>
      <c r="H582">
        <v>0</v>
      </c>
      <c r="I582">
        <v>0</v>
      </c>
      <c r="J582">
        <v>0</v>
      </c>
      <c r="K582">
        <v>0</v>
      </c>
      <c r="L582">
        <v>7</v>
      </c>
      <c r="O582">
        <v>7</v>
      </c>
      <c r="P582">
        <v>4</v>
      </c>
      <c r="Q582">
        <v>0</v>
      </c>
      <c r="R582">
        <v>29.43</v>
      </c>
      <c r="S582">
        <v>0</v>
      </c>
      <c r="T582">
        <v>0</v>
      </c>
      <c r="U582">
        <v>3</v>
      </c>
      <c r="V582">
        <v>0</v>
      </c>
      <c r="W582" t="s">
        <v>14</v>
      </c>
      <c r="X582">
        <v>32.43</v>
      </c>
    </row>
    <row r="583" spans="1:24" ht="15">
      <c r="A583">
        <v>576</v>
      </c>
      <c r="B583">
        <v>18134</v>
      </c>
      <c r="C583" t="s">
        <v>1606</v>
      </c>
      <c r="D583" t="s">
        <v>477</v>
      </c>
      <c r="E583" t="s">
        <v>53</v>
      </c>
      <c r="F583" t="str">
        <f>"201504003263"</f>
        <v>201504003263</v>
      </c>
      <c r="G583">
        <v>15.38</v>
      </c>
      <c r="H583">
        <v>0</v>
      </c>
      <c r="I583">
        <v>0</v>
      </c>
      <c r="J583">
        <v>0</v>
      </c>
      <c r="K583">
        <v>0</v>
      </c>
      <c r="L583">
        <v>7</v>
      </c>
      <c r="O583">
        <v>7</v>
      </c>
      <c r="P583">
        <v>4</v>
      </c>
      <c r="Q583">
        <v>0</v>
      </c>
      <c r="R583">
        <v>26.38</v>
      </c>
      <c r="S583">
        <v>0</v>
      </c>
      <c r="T583">
        <v>0</v>
      </c>
      <c r="U583">
        <v>6</v>
      </c>
      <c r="V583">
        <v>0</v>
      </c>
      <c r="W583" t="s">
        <v>14</v>
      </c>
      <c r="X583">
        <v>32.38</v>
      </c>
    </row>
    <row r="584" spans="1:24" ht="15">
      <c r="A584">
        <v>577</v>
      </c>
      <c r="B584">
        <v>94307</v>
      </c>
      <c r="C584" t="s">
        <v>1607</v>
      </c>
      <c r="D584" t="s">
        <v>814</v>
      </c>
      <c r="E584" t="s">
        <v>194</v>
      </c>
      <c r="F584" t="str">
        <f>"00621164"</f>
        <v>00621164</v>
      </c>
      <c r="G584">
        <v>19.33</v>
      </c>
      <c r="H584">
        <v>0</v>
      </c>
      <c r="I584">
        <v>0</v>
      </c>
      <c r="J584">
        <v>0</v>
      </c>
      <c r="K584">
        <v>0</v>
      </c>
      <c r="N584">
        <v>6</v>
      </c>
      <c r="O584">
        <v>6</v>
      </c>
      <c r="P584">
        <v>4</v>
      </c>
      <c r="Q584">
        <v>0</v>
      </c>
      <c r="R584">
        <v>29.33</v>
      </c>
      <c r="S584">
        <v>0</v>
      </c>
      <c r="T584">
        <v>0</v>
      </c>
      <c r="U584">
        <v>3</v>
      </c>
      <c r="V584">
        <v>0</v>
      </c>
      <c r="W584" t="s">
        <v>14</v>
      </c>
      <c r="X584">
        <v>32.33</v>
      </c>
    </row>
    <row r="585" spans="1:24" ht="15">
      <c r="A585">
        <v>578</v>
      </c>
      <c r="B585">
        <v>99053</v>
      </c>
      <c r="C585" t="s">
        <v>1612</v>
      </c>
      <c r="D585" t="s">
        <v>356</v>
      </c>
      <c r="E585" t="s">
        <v>1449</v>
      </c>
      <c r="F585" t="str">
        <f>"00636352"</f>
        <v>00636352</v>
      </c>
      <c r="G585">
        <v>19.03</v>
      </c>
      <c r="H585">
        <v>0</v>
      </c>
      <c r="I585">
        <v>0</v>
      </c>
      <c r="J585">
        <v>0</v>
      </c>
      <c r="K585">
        <v>0</v>
      </c>
      <c r="N585">
        <v>3</v>
      </c>
      <c r="O585">
        <v>3</v>
      </c>
      <c r="P585">
        <v>4</v>
      </c>
      <c r="Q585">
        <v>0</v>
      </c>
      <c r="R585">
        <v>26.03</v>
      </c>
      <c r="S585">
        <v>0</v>
      </c>
      <c r="T585">
        <v>0</v>
      </c>
      <c r="U585">
        <v>6</v>
      </c>
      <c r="V585">
        <v>0</v>
      </c>
      <c r="W585" t="s">
        <v>14</v>
      </c>
      <c r="X585">
        <v>32.03</v>
      </c>
    </row>
    <row r="586" spans="1:24" ht="15">
      <c r="A586">
        <v>579</v>
      </c>
      <c r="B586">
        <v>85733</v>
      </c>
      <c r="C586" t="s">
        <v>1613</v>
      </c>
      <c r="D586" t="s">
        <v>363</v>
      </c>
      <c r="E586" t="s">
        <v>53</v>
      </c>
      <c r="F586" t="str">
        <f>"00633070"</f>
        <v>00633070</v>
      </c>
      <c r="G586">
        <v>17</v>
      </c>
      <c r="H586">
        <v>0</v>
      </c>
      <c r="I586">
        <v>0</v>
      </c>
      <c r="J586">
        <v>0</v>
      </c>
      <c r="K586">
        <v>0</v>
      </c>
      <c r="N586">
        <v>3</v>
      </c>
      <c r="O586">
        <v>3</v>
      </c>
      <c r="P586">
        <v>4</v>
      </c>
      <c r="Q586">
        <v>2</v>
      </c>
      <c r="R586">
        <v>26</v>
      </c>
      <c r="S586">
        <v>0</v>
      </c>
      <c r="T586">
        <v>0</v>
      </c>
      <c r="U586">
        <v>6</v>
      </c>
      <c r="V586">
        <v>0</v>
      </c>
      <c r="W586" t="s">
        <v>14</v>
      </c>
      <c r="X586">
        <v>32</v>
      </c>
    </row>
    <row r="587" spans="1:24" ht="15">
      <c r="A587">
        <v>580</v>
      </c>
      <c r="B587">
        <v>68736</v>
      </c>
      <c r="C587" t="s">
        <v>1618</v>
      </c>
      <c r="D587" t="s">
        <v>1619</v>
      </c>
      <c r="E587" t="s">
        <v>53</v>
      </c>
      <c r="F587" t="str">
        <f>"00434786"</f>
        <v>00434786</v>
      </c>
      <c r="G587">
        <v>18.95</v>
      </c>
      <c r="H587">
        <v>0</v>
      </c>
      <c r="I587">
        <v>0</v>
      </c>
      <c r="J587">
        <v>0</v>
      </c>
      <c r="K587">
        <v>0</v>
      </c>
      <c r="L587">
        <v>7</v>
      </c>
      <c r="O587">
        <v>7</v>
      </c>
      <c r="P587">
        <v>4</v>
      </c>
      <c r="Q587">
        <v>2</v>
      </c>
      <c r="R587">
        <v>31.95</v>
      </c>
      <c r="S587">
        <v>0</v>
      </c>
      <c r="T587">
        <v>0</v>
      </c>
      <c r="U587">
        <v>0</v>
      </c>
      <c r="V587">
        <v>0</v>
      </c>
      <c r="W587" t="s">
        <v>14</v>
      </c>
      <c r="X587">
        <v>31.95</v>
      </c>
    </row>
    <row r="588" spans="1:24" ht="15">
      <c r="A588">
        <v>581</v>
      </c>
      <c r="B588">
        <v>26679</v>
      </c>
      <c r="C588" t="s">
        <v>1620</v>
      </c>
      <c r="D588" t="s">
        <v>215</v>
      </c>
      <c r="E588" t="s">
        <v>135</v>
      </c>
      <c r="F588" t="str">
        <f>"00168458"</f>
        <v>00168458</v>
      </c>
      <c r="G588">
        <v>18.93</v>
      </c>
      <c r="H588">
        <v>0</v>
      </c>
      <c r="I588">
        <v>0</v>
      </c>
      <c r="J588">
        <v>0</v>
      </c>
      <c r="K588">
        <v>0</v>
      </c>
      <c r="N588">
        <v>3</v>
      </c>
      <c r="O588">
        <v>3</v>
      </c>
      <c r="P588">
        <v>4</v>
      </c>
      <c r="Q588">
        <v>0</v>
      </c>
      <c r="R588">
        <v>25.93</v>
      </c>
      <c r="S588">
        <v>0</v>
      </c>
      <c r="T588">
        <v>0</v>
      </c>
      <c r="U588">
        <v>6</v>
      </c>
      <c r="V588">
        <v>0</v>
      </c>
      <c r="W588" t="s">
        <v>14</v>
      </c>
      <c r="X588">
        <v>31.93</v>
      </c>
    </row>
    <row r="589" spans="1:24" ht="15">
      <c r="A589">
        <v>582</v>
      </c>
      <c r="B589">
        <v>106782</v>
      </c>
      <c r="C589" t="s">
        <v>1621</v>
      </c>
      <c r="D589" t="s">
        <v>29</v>
      </c>
      <c r="E589" t="s">
        <v>111</v>
      </c>
      <c r="F589" t="str">
        <f>"00640537"</f>
        <v>00640537</v>
      </c>
      <c r="G589">
        <v>17.93</v>
      </c>
      <c r="H589">
        <v>0</v>
      </c>
      <c r="I589">
        <v>0</v>
      </c>
      <c r="J589">
        <v>0</v>
      </c>
      <c r="K589">
        <v>0</v>
      </c>
      <c r="L589">
        <v>7</v>
      </c>
      <c r="O589">
        <v>7</v>
      </c>
      <c r="P589">
        <v>4</v>
      </c>
      <c r="Q589">
        <v>0</v>
      </c>
      <c r="R589">
        <v>28.93</v>
      </c>
      <c r="S589">
        <v>0</v>
      </c>
      <c r="T589">
        <v>0</v>
      </c>
      <c r="U589">
        <v>3</v>
      </c>
      <c r="V589">
        <v>0</v>
      </c>
      <c r="W589" t="s">
        <v>14</v>
      </c>
      <c r="X589">
        <v>31.93</v>
      </c>
    </row>
    <row r="590" spans="1:24" ht="15">
      <c r="A590">
        <v>583</v>
      </c>
      <c r="B590">
        <v>111</v>
      </c>
      <c r="C590" t="s">
        <v>605</v>
      </c>
      <c r="D590" t="s">
        <v>288</v>
      </c>
      <c r="E590" t="s">
        <v>24</v>
      </c>
      <c r="F590" t="str">
        <f>"00603260"</f>
        <v>00603260</v>
      </c>
      <c r="G590">
        <v>20.93</v>
      </c>
      <c r="H590">
        <v>0</v>
      </c>
      <c r="I590">
        <v>0</v>
      </c>
      <c r="J590">
        <v>0</v>
      </c>
      <c r="K590">
        <v>0</v>
      </c>
      <c r="L590">
        <v>7</v>
      </c>
      <c r="O590">
        <v>7</v>
      </c>
      <c r="P590">
        <v>4</v>
      </c>
      <c r="Q590">
        <v>0</v>
      </c>
      <c r="R590">
        <v>31.93</v>
      </c>
      <c r="S590">
        <v>0</v>
      </c>
      <c r="T590">
        <v>0</v>
      </c>
      <c r="U590">
        <v>0</v>
      </c>
      <c r="V590">
        <v>0</v>
      </c>
      <c r="W590" t="s">
        <v>14</v>
      </c>
      <c r="X590">
        <v>31.93</v>
      </c>
    </row>
    <row r="591" spans="1:24" ht="15">
      <c r="A591">
        <v>584</v>
      </c>
      <c r="B591">
        <v>46091</v>
      </c>
      <c r="C591" t="s">
        <v>1626</v>
      </c>
      <c r="D591" t="s">
        <v>442</v>
      </c>
      <c r="E591" t="s">
        <v>21</v>
      </c>
      <c r="F591" t="str">
        <f>"00366831"</f>
        <v>00366831</v>
      </c>
      <c r="G591">
        <v>15.5</v>
      </c>
      <c r="H591">
        <v>0</v>
      </c>
      <c r="I591">
        <v>0</v>
      </c>
      <c r="J591">
        <v>0</v>
      </c>
      <c r="K591">
        <v>0</v>
      </c>
      <c r="N591">
        <v>6</v>
      </c>
      <c r="O591">
        <v>6</v>
      </c>
      <c r="P591">
        <v>4</v>
      </c>
      <c r="Q591">
        <v>0</v>
      </c>
      <c r="R591">
        <v>25.5</v>
      </c>
      <c r="S591">
        <v>0</v>
      </c>
      <c r="T591">
        <v>0</v>
      </c>
      <c r="U591">
        <v>6</v>
      </c>
      <c r="V591">
        <v>0</v>
      </c>
      <c r="W591" t="s">
        <v>14</v>
      </c>
      <c r="X591">
        <v>31.5</v>
      </c>
    </row>
    <row r="592" spans="1:24" ht="15">
      <c r="A592">
        <v>585</v>
      </c>
      <c r="B592">
        <v>88274</v>
      </c>
      <c r="C592" t="s">
        <v>1628</v>
      </c>
      <c r="D592" t="s">
        <v>377</v>
      </c>
      <c r="E592" t="s">
        <v>53</v>
      </c>
      <c r="F592" t="str">
        <f>"00644140"</f>
        <v>00644140</v>
      </c>
      <c r="G592">
        <v>20.5</v>
      </c>
      <c r="H592">
        <v>0</v>
      </c>
      <c r="I592">
        <v>0</v>
      </c>
      <c r="J592">
        <v>0</v>
      </c>
      <c r="K592">
        <v>0</v>
      </c>
      <c r="L592">
        <v>7</v>
      </c>
      <c r="O592">
        <v>7</v>
      </c>
      <c r="P592">
        <v>4</v>
      </c>
      <c r="Q592">
        <v>0</v>
      </c>
      <c r="R592">
        <v>31.5</v>
      </c>
      <c r="S592">
        <v>0</v>
      </c>
      <c r="T592">
        <v>0</v>
      </c>
      <c r="U592">
        <v>0</v>
      </c>
      <c r="V592">
        <v>0</v>
      </c>
      <c r="W592" t="s">
        <v>14</v>
      </c>
      <c r="X592">
        <v>31.5</v>
      </c>
    </row>
    <row r="593" spans="1:24" ht="15">
      <c r="A593">
        <v>586</v>
      </c>
      <c r="B593">
        <v>96025</v>
      </c>
      <c r="C593" t="s">
        <v>1629</v>
      </c>
      <c r="D593" t="s">
        <v>1630</v>
      </c>
      <c r="E593" t="s">
        <v>109</v>
      </c>
      <c r="F593" t="str">
        <f>"00403113"</f>
        <v>00403113</v>
      </c>
      <c r="G593">
        <v>16.45</v>
      </c>
      <c r="H593">
        <v>0</v>
      </c>
      <c r="I593">
        <v>0</v>
      </c>
      <c r="J593">
        <v>0</v>
      </c>
      <c r="K593">
        <v>0</v>
      </c>
      <c r="N593">
        <v>3</v>
      </c>
      <c r="O593">
        <v>3</v>
      </c>
      <c r="P593">
        <v>4</v>
      </c>
      <c r="Q593">
        <v>2</v>
      </c>
      <c r="R593">
        <v>25.45</v>
      </c>
      <c r="S593">
        <v>0</v>
      </c>
      <c r="T593">
        <v>0</v>
      </c>
      <c r="U593">
        <v>6</v>
      </c>
      <c r="V593">
        <v>0</v>
      </c>
      <c r="W593" t="s">
        <v>14</v>
      </c>
      <c r="X593">
        <v>31.45</v>
      </c>
    </row>
    <row r="594" spans="1:24" ht="15">
      <c r="A594">
        <v>587</v>
      </c>
      <c r="B594">
        <v>70768</v>
      </c>
      <c r="C594" t="s">
        <v>1633</v>
      </c>
      <c r="D594" t="s">
        <v>403</v>
      </c>
      <c r="E594" t="s">
        <v>24</v>
      </c>
      <c r="F594" t="str">
        <f>"00435916"</f>
        <v>00435916</v>
      </c>
      <c r="G594">
        <v>18.43</v>
      </c>
      <c r="H594">
        <v>0</v>
      </c>
      <c r="I594">
        <v>0</v>
      </c>
      <c r="J594">
        <v>0</v>
      </c>
      <c r="K594">
        <v>0</v>
      </c>
      <c r="L594">
        <v>7</v>
      </c>
      <c r="O594">
        <v>7</v>
      </c>
      <c r="P594">
        <v>4</v>
      </c>
      <c r="Q594">
        <v>2</v>
      </c>
      <c r="R594">
        <v>31.43</v>
      </c>
      <c r="S594">
        <v>0</v>
      </c>
      <c r="T594">
        <v>0</v>
      </c>
      <c r="U594">
        <v>0</v>
      </c>
      <c r="V594">
        <v>0</v>
      </c>
      <c r="W594" t="s">
        <v>14</v>
      </c>
      <c r="X594">
        <v>31.43</v>
      </c>
    </row>
    <row r="595" spans="1:24" ht="15">
      <c r="A595">
        <v>588</v>
      </c>
      <c r="B595">
        <v>51210</v>
      </c>
      <c r="C595" t="s">
        <v>1639</v>
      </c>
      <c r="D595" t="s">
        <v>90</v>
      </c>
      <c r="E595" t="s">
        <v>44</v>
      </c>
      <c r="F595" t="str">
        <f>"00026197"</f>
        <v>00026197</v>
      </c>
      <c r="G595">
        <v>18.35</v>
      </c>
      <c r="H595">
        <v>0</v>
      </c>
      <c r="I595">
        <v>0</v>
      </c>
      <c r="J595">
        <v>0</v>
      </c>
      <c r="K595">
        <v>0</v>
      </c>
      <c r="N595">
        <v>3</v>
      </c>
      <c r="O595">
        <v>3</v>
      </c>
      <c r="P595">
        <v>4</v>
      </c>
      <c r="Q595">
        <v>0</v>
      </c>
      <c r="R595">
        <v>25.35</v>
      </c>
      <c r="S595">
        <v>0</v>
      </c>
      <c r="T595">
        <v>0</v>
      </c>
      <c r="U595">
        <v>6</v>
      </c>
      <c r="V595">
        <v>0</v>
      </c>
      <c r="W595" t="s">
        <v>14</v>
      </c>
      <c r="X595">
        <v>31.35</v>
      </c>
    </row>
    <row r="596" spans="1:24" ht="15">
      <c r="A596">
        <v>589</v>
      </c>
      <c r="B596">
        <v>101066</v>
      </c>
      <c r="C596" t="s">
        <v>637</v>
      </c>
      <c r="D596" t="s">
        <v>46</v>
      </c>
      <c r="E596" t="s">
        <v>30</v>
      </c>
      <c r="F596" t="str">
        <f>"00514185"</f>
        <v>00514185</v>
      </c>
      <c r="G596">
        <v>21.3</v>
      </c>
      <c r="H596">
        <v>0</v>
      </c>
      <c r="I596">
        <v>0</v>
      </c>
      <c r="J596">
        <v>0</v>
      </c>
      <c r="K596">
        <v>0</v>
      </c>
      <c r="N596">
        <v>3</v>
      </c>
      <c r="O596">
        <v>3</v>
      </c>
      <c r="P596">
        <v>4</v>
      </c>
      <c r="Q596">
        <v>0</v>
      </c>
      <c r="R596">
        <v>28.3</v>
      </c>
      <c r="S596">
        <v>0</v>
      </c>
      <c r="T596">
        <v>0</v>
      </c>
      <c r="U596">
        <v>3</v>
      </c>
      <c r="V596">
        <v>0</v>
      </c>
      <c r="W596" t="s">
        <v>14</v>
      </c>
      <c r="X596">
        <v>31.3</v>
      </c>
    </row>
    <row r="597" spans="1:24" ht="15">
      <c r="A597">
        <v>590</v>
      </c>
      <c r="B597">
        <v>72526</v>
      </c>
      <c r="C597" t="s">
        <v>1643</v>
      </c>
      <c r="D597" t="s">
        <v>1644</v>
      </c>
      <c r="E597" t="s">
        <v>30</v>
      </c>
      <c r="F597" t="str">
        <f>"00623785"</f>
        <v>00623785</v>
      </c>
      <c r="G597">
        <v>16.28</v>
      </c>
      <c r="H597">
        <v>0</v>
      </c>
      <c r="I597">
        <v>0</v>
      </c>
      <c r="J597">
        <v>0</v>
      </c>
      <c r="K597">
        <v>0</v>
      </c>
      <c r="M597">
        <v>5</v>
      </c>
      <c r="O597">
        <v>5</v>
      </c>
      <c r="P597">
        <v>4</v>
      </c>
      <c r="Q597">
        <v>0</v>
      </c>
      <c r="R597">
        <v>25.28</v>
      </c>
      <c r="S597">
        <v>0</v>
      </c>
      <c r="T597">
        <v>0</v>
      </c>
      <c r="U597">
        <v>6</v>
      </c>
      <c r="V597">
        <v>0</v>
      </c>
      <c r="W597" t="s">
        <v>14</v>
      </c>
      <c r="X597">
        <v>31.28</v>
      </c>
    </row>
    <row r="598" spans="1:24" ht="15">
      <c r="A598">
        <v>591</v>
      </c>
      <c r="B598">
        <v>32583</v>
      </c>
      <c r="C598" t="s">
        <v>25</v>
      </c>
      <c r="D598" t="s">
        <v>97</v>
      </c>
      <c r="E598" t="s">
        <v>21</v>
      </c>
      <c r="F598" t="str">
        <f>"00583148"</f>
        <v>00583148</v>
      </c>
      <c r="G598">
        <v>18.25</v>
      </c>
      <c r="H598">
        <v>0</v>
      </c>
      <c r="I598">
        <v>0</v>
      </c>
      <c r="J598">
        <v>0</v>
      </c>
      <c r="K598">
        <v>0</v>
      </c>
      <c r="N598">
        <v>3</v>
      </c>
      <c r="O598">
        <v>3</v>
      </c>
      <c r="P598">
        <v>4</v>
      </c>
      <c r="Q598">
        <v>0</v>
      </c>
      <c r="R598">
        <v>25.25</v>
      </c>
      <c r="S598">
        <v>0</v>
      </c>
      <c r="T598">
        <v>0</v>
      </c>
      <c r="U598">
        <v>6</v>
      </c>
      <c r="V598">
        <v>0</v>
      </c>
      <c r="W598" t="s">
        <v>14</v>
      </c>
      <c r="X598">
        <v>31.25</v>
      </c>
    </row>
    <row r="599" spans="1:24" ht="15">
      <c r="A599">
        <v>592</v>
      </c>
      <c r="B599">
        <v>66577</v>
      </c>
      <c r="C599" t="s">
        <v>1647</v>
      </c>
      <c r="D599" t="s">
        <v>1648</v>
      </c>
      <c r="E599" t="s">
        <v>1649</v>
      </c>
      <c r="F599" t="str">
        <f>"00010381"</f>
        <v>00010381</v>
      </c>
      <c r="G599">
        <v>16.1</v>
      </c>
      <c r="H599">
        <v>0</v>
      </c>
      <c r="I599">
        <v>0</v>
      </c>
      <c r="J599">
        <v>0</v>
      </c>
      <c r="K599">
        <v>0</v>
      </c>
      <c r="N599">
        <v>3</v>
      </c>
      <c r="O599">
        <v>3</v>
      </c>
      <c r="P599">
        <v>4</v>
      </c>
      <c r="Q599">
        <v>2</v>
      </c>
      <c r="R599">
        <v>25.1</v>
      </c>
      <c r="S599">
        <v>0</v>
      </c>
      <c r="T599">
        <v>0</v>
      </c>
      <c r="U599">
        <v>6</v>
      </c>
      <c r="V599">
        <v>0</v>
      </c>
      <c r="W599" t="s">
        <v>14</v>
      </c>
      <c r="X599">
        <v>31.1</v>
      </c>
    </row>
    <row r="600" spans="1:24" ht="15">
      <c r="A600">
        <v>593</v>
      </c>
      <c r="B600">
        <v>42094</v>
      </c>
      <c r="C600" t="s">
        <v>143</v>
      </c>
      <c r="D600" t="s">
        <v>1174</v>
      </c>
      <c r="E600" t="s">
        <v>887</v>
      </c>
      <c r="F600" t="str">
        <f>"00619527"</f>
        <v>00619527</v>
      </c>
      <c r="G600">
        <v>17.1</v>
      </c>
      <c r="H600">
        <v>7</v>
      </c>
      <c r="I600">
        <v>0</v>
      </c>
      <c r="J600">
        <v>0</v>
      </c>
      <c r="K600">
        <v>0</v>
      </c>
      <c r="O600">
        <v>0</v>
      </c>
      <c r="P600">
        <v>4</v>
      </c>
      <c r="Q600">
        <v>0</v>
      </c>
      <c r="R600">
        <v>28.1</v>
      </c>
      <c r="S600">
        <v>0</v>
      </c>
      <c r="T600">
        <v>0</v>
      </c>
      <c r="U600">
        <v>3</v>
      </c>
      <c r="V600">
        <v>0</v>
      </c>
      <c r="W600" t="s">
        <v>14</v>
      </c>
      <c r="X600">
        <v>31.1</v>
      </c>
    </row>
    <row r="601" spans="1:24" ht="15">
      <c r="A601">
        <v>594</v>
      </c>
      <c r="B601">
        <v>75147</v>
      </c>
      <c r="C601" t="s">
        <v>1650</v>
      </c>
      <c r="D601" t="s">
        <v>360</v>
      </c>
      <c r="E601" t="s">
        <v>23</v>
      </c>
      <c r="F601" t="str">
        <f>"200802001359"</f>
        <v>200802001359</v>
      </c>
      <c r="G601">
        <v>16</v>
      </c>
      <c r="H601">
        <v>0</v>
      </c>
      <c r="I601">
        <v>0</v>
      </c>
      <c r="J601">
        <v>0</v>
      </c>
      <c r="K601">
        <v>0</v>
      </c>
      <c r="N601">
        <v>3</v>
      </c>
      <c r="O601">
        <v>3</v>
      </c>
      <c r="P601">
        <v>4</v>
      </c>
      <c r="Q601">
        <v>2</v>
      </c>
      <c r="R601">
        <v>25</v>
      </c>
      <c r="S601">
        <v>0</v>
      </c>
      <c r="T601">
        <v>0</v>
      </c>
      <c r="U601">
        <v>6</v>
      </c>
      <c r="V601">
        <v>0</v>
      </c>
      <c r="W601" t="s">
        <v>14</v>
      </c>
      <c r="X601">
        <v>31</v>
      </c>
    </row>
    <row r="602" spans="1:24" ht="15">
      <c r="A602">
        <v>595</v>
      </c>
      <c r="B602">
        <v>8240</v>
      </c>
      <c r="C602" t="s">
        <v>1651</v>
      </c>
      <c r="D602" t="s">
        <v>1652</v>
      </c>
      <c r="E602" t="s">
        <v>207</v>
      </c>
      <c r="F602" t="str">
        <f>"00225315"</f>
        <v>00225315</v>
      </c>
      <c r="G602">
        <v>14</v>
      </c>
      <c r="H602">
        <v>0</v>
      </c>
      <c r="I602">
        <v>0</v>
      </c>
      <c r="J602">
        <v>0</v>
      </c>
      <c r="K602">
        <v>0</v>
      </c>
      <c r="L602">
        <v>7</v>
      </c>
      <c r="N602">
        <v>3</v>
      </c>
      <c r="O602">
        <v>10</v>
      </c>
      <c r="P602">
        <v>4</v>
      </c>
      <c r="Q602">
        <v>0</v>
      </c>
      <c r="R602">
        <v>28</v>
      </c>
      <c r="S602">
        <v>0</v>
      </c>
      <c r="T602">
        <v>0</v>
      </c>
      <c r="U602">
        <v>3</v>
      </c>
      <c r="V602">
        <v>0</v>
      </c>
      <c r="W602" t="s">
        <v>14</v>
      </c>
      <c r="X602">
        <v>31</v>
      </c>
    </row>
    <row r="603" spans="1:24" ht="15">
      <c r="A603">
        <v>596</v>
      </c>
      <c r="B603">
        <v>78978</v>
      </c>
      <c r="C603" t="s">
        <v>1654</v>
      </c>
      <c r="D603" t="s">
        <v>1034</v>
      </c>
      <c r="E603" t="s">
        <v>135</v>
      </c>
      <c r="F603" t="str">
        <f>"00621419"</f>
        <v>00621419</v>
      </c>
      <c r="G603">
        <v>17.93</v>
      </c>
      <c r="H603">
        <v>0</v>
      </c>
      <c r="I603">
        <v>0</v>
      </c>
      <c r="J603">
        <v>0</v>
      </c>
      <c r="K603">
        <v>0</v>
      </c>
      <c r="O603">
        <v>0</v>
      </c>
      <c r="P603">
        <v>4</v>
      </c>
      <c r="Q603">
        <v>0</v>
      </c>
      <c r="R603">
        <v>21.93</v>
      </c>
      <c r="S603">
        <v>0</v>
      </c>
      <c r="T603">
        <v>0</v>
      </c>
      <c r="U603">
        <v>9</v>
      </c>
      <c r="V603">
        <v>0</v>
      </c>
      <c r="W603" t="s">
        <v>14</v>
      </c>
      <c r="X603">
        <v>30.93</v>
      </c>
    </row>
    <row r="604" spans="1:24" ht="15">
      <c r="A604">
        <v>597</v>
      </c>
      <c r="B604">
        <v>45762</v>
      </c>
      <c r="C604" t="s">
        <v>1655</v>
      </c>
      <c r="D604" t="s">
        <v>1405</v>
      </c>
      <c r="E604" t="s">
        <v>1656</v>
      </c>
      <c r="F604" t="str">
        <f>"00597656"</f>
        <v>00597656</v>
      </c>
      <c r="G604">
        <v>17.93</v>
      </c>
      <c r="H604">
        <v>0</v>
      </c>
      <c r="I604">
        <v>0</v>
      </c>
      <c r="J604">
        <v>0</v>
      </c>
      <c r="K604">
        <v>0</v>
      </c>
      <c r="N604">
        <v>3</v>
      </c>
      <c r="O604">
        <v>3</v>
      </c>
      <c r="P604">
        <v>4</v>
      </c>
      <c r="Q604">
        <v>0</v>
      </c>
      <c r="R604">
        <v>24.93</v>
      </c>
      <c r="S604">
        <v>0</v>
      </c>
      <c r="T604">
        <v>0</v>
      </c>
      <c r="U604">
        <v>6</v>
      </c>
      <c r="V604">
        <v>0</v>
      </c>
      <c r="W604" t="s">
        <v>14</v>
      </c>
      <c r="X604">
        <v>30.93</v>
      </c>
    </row>
    <row r="605" spans="1:24" ht="15">
      <c r="A605">
        <v>598</v>
      </c>
      <c r="B605">
        <v>31561</v>
      </c>
      <c r="C605" t="s">
        <v>1659</v>
      </c>
      <c r="D605" t="s">
        <v>35</v>
      </c>
      <c r="E605" t="s">
        <v>21</v>
      </c>
      <c r="F605" t="str">
        <f>"00625706"</f>
        <v>00625706</v>
      </c>
      <c r="G605">
        <v>17.88</v>
      </c>
      <c r="H605">
        <v>0</v>
      </c>
      <c r="I605">
        <v>0</v>
      </c>
      <c r="J605">
        <v>0</v>
      </c>
      <c r="K605">
        <v>0</v>
      </c>
      <c r="N605">
        <v>3</v>
      </c>
      <c r="O605">
        <v>3</v>
      </c>
      <c r="P605">
        <v>4</v>
      </c>
      <c r="Q605">
        <v>0</v>
      </c>
      <c r="R605">
        <v>24.88</v>
      </c>
      <c r="S605">
        <v>0</v>
      </c>
      <c r="T605">
        <v>0</v>
      </c>
      <c r="U605">
        <v>6</v>
      </c>
      <c r="V605">
        <v>0</v>
      </c>
      <c r="W605" t="s">
        <v>14</v>
      </c>
      <c r="X605">
        <v>30.88</v>
      </c>
    </row>
    <row r="606" spans="1:24" ht="15">
      <c r="A606">
        <v>599</v>
      </c>
      <c r="B606">
        <v>48503</v>
      </c>
      <c r="C606" t="s">
        <v>1660</v>
      </c>
      <c r="D606" t="s">
        <v>1661</v>
      </c>
      <c r="E606" t="s">
        <v>12</v>
      </c>
      <c r="F606" t="str">
        <f>"200803000625"</f>
        <v>200803000625</v>
      </c>
      <c r="G606">
        <v>18.85</v>
      </c>
      <c r="H606">
        <v>0</v>
      </c>
      <c r="I606">
        <v>0</v>
      </c>
      <c r="J606">
        <v>0</v>
      </c>
      <c r="K606">
        <v>0</v>
      </c>
      <c r="N606">
        <v>3</v>
      </c>
      <c r="O606">
        <v>3</v>
      </c>
      <c r="P606">
        <v>4</v>
      </c>
      <c r="Q606">
        <v>2</v>
      </c>
      <c r="R606">
        <v>27.85</v>
      </c>
      <c r="S606">
        <v>0</v>
      </c>
      <c r="T606">
        <v>0</v>
      </c>
      <c r="U606">
        <v>3</v>
      </c>
      <c r="V606">
        <v>0</v>
      </c>
      <c r="W606" t="s">
        <v>14</v>
      </c>
      <c r="X606">
        <v>30.85</v>
      </c>
    </row>
    <row r="607" spans="1:24" ht="15">
      <c r="A607">
        <v>600</v>
      </c>
      <c r="B607">
        <v>57483</v>
      </c>
      <c r="C607" t="s">
        <v>1664</v>
      </c>
      <c r="D607" t="s">
        <v>305</v>
      </c>
      <c r="E607" t="s">
        <v>17</v>
      </c>
      <c r="F607" t="str">
        <f>"00464491"</f>
        <v>00464491</v>
      </c>
      <c r="G607">
        <v>20.7</v>
      </c>
      <c r="H607">
        <v>0</v>
      </c>
      <c r="I607">
        <v>0</v>
      </c>
      <c r="J607">
        <v>0</v>
      </c>
      <c r="K607">
        <v>0</v>
      </c>
      <c r="N607">
        <v>3</v>
      </c>
      <c r="O607">
        <v>3</v>
      </c>
      <c r="P607">
        <v>4</v>
      </c>
      <c r="Q607">
        <v>0</v>
      </c>
      <c r="R607">
        <v>27.7</v>
      </c>
      <c r="S607">
        <v>0</v>
      </c>
      <c r="T607">
        <v>0</v>
      </c>
      <c r="U607">
        <v>3</v>
      </c>
      <c r="V607">
        <v>0</v>
      </c>
      <c r="W607" t="s">
        <v>14</v>
      </c>
      <c r="X607">
        <v>30.7</v>
      </c>
    </row>
    <row r="608" spans="1:24" ht="15">
      <c r="A608">
        <v>601</v>
      </c>
      <c r="B608">
        <v>49081</v>
      </c>
      <c r="C608" t="s">
        <v>1666</v>
      </c>
      <c r="D608" t="s">
        <v>363</v>
      </c>
      <c r="E608" t="s">
        <v>111</v>
      </c>
      <c r="F608" t="str">
        <f>"00608191"</f>
        <v>00608191</v>
      </c>
      <c r="G608">
        <v>15.6</v>
      </c>
      <c r="H608">
        <v>0</v>
      </c>
      <c r="I608">
        <v>0</v>
      </c>
      <c r="J608">
        <v>0</v>
      </c>
      <c r="K608">
        <v>0</v>
      </c>
      <c r="N608">
        <v>3</v>
      </c>
      <c r="O608">
        <v>3</v>
      </c>
      <c r="P608">
        <v>4</v>
      </c>
      <c r="Q608">
        <v>2</v>
      </c>
      <c r="R608">
        <v>24.6</v>
      </c>
      <c r="S608">
        <v>0</v>
      </c>
      <c r="T608">
        <v>0</v>
      </c>
      <c r="U608">
        <v>6</v>
      </c>
      <c r="V608">
        <v>0</v>
      </c>
      <c r="W608" t="s">
        <v>14</v>
      </c>
      <c r="X608">
        <v>30.6</v>
      </c>
    </row>
    <row r="609" spans="1:24" ht="15">
      <c r="A609">
        <v>602</v>
      </c>
      <c r="B609">
        <v>109214</v>
      </c>
      <c r="C609" t="s">
        <v>1669</v>
      </c>
      <c r="D609" t="s">
        <v>1670</v>
      </c>
      <c r="E609" t="s">
        <v>76</v>
      </c>
      <c r="F609" t="str">
        <f>"00617111"</f>
        <v>00617111</v>
      </c>
      <c r="G609">
        <v>17.53</v>
      </c>
      <c r="H609">
        <v>0</v>
      </c>
      <c r="I609">
        <v>0</v>
      </c>
      <c r="J609">
        <v>0</v>
      </c>
      <c r="K609">
        <v>0</v>
      </c>
      <c r="N609">
        <v>3</v>
      </c>
      <c r="O609">
        <v>3</v>
      </c>
      <c r="P609">
        <v>4</v>
      </c>
      <c r="Q609">
        <v>0</v>
      </c>
      <c r="R609">
        <v>24.53</v>
      </c>
      <c r="S609">
        <v>0</v>
      </c>
      <c r="T609">
        <v>0</v>
      </c>
      <c r="U609">
        <v>6</v>
      </c>
      <c r="V609">
        <v>0</v>
      </c>
      <c r="W609" t="s">
        <v>14</v>
      </c>
      <c r="X609">
        <v>30.53</v>
      </c>
    </row>
    <row r="610" spans="1:24" ht="15">
      <c r="A610">
        <v>603</v>
      </c>
      <c r="B610">
        <v>64451</v>
      </c>
      <c r="C610" t="s">
        <v>1674</v>
      </c>
      <c r="D610" t="s">
        <v>12</v>
      </c>
      <c r="E610" t="s">
        <v>95</v>
      </c>
      <c r="F610" t="str">
        <f>"00619922"</f>
        <v>00619922</v>
      </c>
      <c r="G610">
        <v>18.4</v>
      </c>
      <c r="H610">
        <v>0</v>
      </c>
      <c r="I610">
        <v>0</v>
      </c>
      <c r="J610">
        <v>0</v>
      </c>
      <c r="K610">
        <v>0</v>
      </c>
      <c r="O610">
        <v>0</v>
      </c>
      <c r="P610">
        <v>4</v>
      </c>
      <c r="Q610">
        <v>0</v>
      </c>
      <c r="R610">
        <v>22.4</v>
      </c>
      <c r="S610">
        <v>2</v>
      </c>
      <c r="T610">
        <v>2</v>
      </c>
      <c r="U610">
        <v>6</v>
      </c>
      <c r="V610">
        <v>0</v>
      </c>
      <c r="W610" t="s">
        <v>14</v>
      </c>
      <c r="X610">
        <v>30.4</v>
      </c>
    </row>
    <row r="611" spans="1:24" ht="15">
      <c r="A611">
        <v>604</v>
      </c>
      <c r="B611">
        <v>14661</v>
      </c>
      <c r="C611" t="s">
        <v>1675</v>
      </c>
      <c r="D611" t="s">
        <v>363</v>
      </c>
      <c r="E611" t="s">
        <v>44</v>
      </c>
      <c r="F611" t="str">
        <f>"00110489"</f>
        <v>00110489</v>
      </c>
      <c r="G611">
        <v>17.35</v>
      </c>
      <c r="H611">
        <v>0</v>
      </c>
      <c r="I611">
        <v>0</v>
      </c>
      <c r="J611">
        <v>0</v>
      </c>
      <c r="K611">
        <v>0</v>
      </c>
      <c r="N611">
        <v>3</v>
      </c>
      <c r="O611">
        <v>3</v>
      </c>
      <c r="P611">
        <v>4</v>
      </c>
      <c r="Q611">
        <v>0</v>
      </c>
      <c r="R611">
        <v>24.35</v>
      </c>
      <c r="S611">
        <v>0</v>
      </c>
      <c r="T611">
        <v>0</v>
      </c>
      <c r="U611">
        <v>6</v>
      </c>
      <c r="V611">
        <v>0</v>
      </c>
      <c r="W611" t="s">
        <v>14</v>
      </c>
      <c r="X611">
        <v>30.35</v>
      </c>
    </row>
    <row r="612" spans="1:24" ht="15">
      <c r="A612">
        <v>605</v>
      </c>
      <c r="B612">
        <v>12910</v>
      </c>
      <c r="C612" t="s">
        <v>1676</v>
      </c>
      <c r="D612" t="s">
        <v>12</v>
      </c>
      <c r="E612" t="s">
        <v>80</v>
      </c>
      <c r="F612" t="str">
        <f>"00526527"</f>
        <v>00526527</v>
      </c>
      <c r="G612">
        <v>19.35</v>
      </c>
      <c r="H612">
        <v>0</v>
      </c>
      <c r="I612">
        <v>0</v>
      </c>
      <c r="J612">
        <v>0</v>
      </c>
      <c r="K612">
        <v>0</v>
      </c>
      <c r="L612">
        <v>7</v>
      </c>
      <c r="O612">
        <v>7</v>
      </c>
      <c r="P612">
        <v>4</v>
      </c>
      <c r="Q612">
        <v>0</v>
      </c>
      <c r="R612">
        <v>30.35</v>
      </c>
      <c r="S612">
        <v>0</v>
      </c>
      <c r="T612">
        <v>0</v>
      </c>
      <c r="U612">
        <v>0</v>
      </c>
      <c r="V612">
        <v>0</v>
      </c>
      <c r="W612" t="s">
        <v>14</v>
      </c>
      <c r="X612">
        <v>30.35</v>
      </c>
    </row>
    <row r="613" spans="1:24" ht="15">
      <c r="A613">
        <v>606</v>
      </c>
      <c r="B613">
        <v>87248</v>
      </c>
      <c r="C613" t="s">
        <v>1677</v>
      </c>
      <c r="D613" t="s">
        <v>252</v>
      </c>
      <c r="E613" t="s">
        <v>27</v>
      </c>
      <c r="F613" t="str">
        <f>"00437039"</f>
        <v>00437039</v>
      </c>
      <c r="G613">
        <v>20.33</v>
      </c>
      <c r="H613">
        <v>0</v>
      </c>
      <c r="I613">
        <v>0</v>
      </c>
      <c r="J613">
        <v>0</v>
      </c>
      <c r="K613">
        <v>0</v>
      </c>
      <c r="N613">
        <v>6</v>
      </c>
      <c r="O613">
        <v>6</v>
      </c>
      <c r="P613">
        <v>4</v>
      </c>
      <c r="Q613">
        <v>0</v>
      </c>
      <c r="R613">
        <v>30.33</v>
      </c>
      <c r="S613">
        <v>0</v>
      </c>
      <c r="T613">
        <v>0</v>
      </c>
      <c r="U613">
        <v>0</v>
      </c>
      <c r="V613">
        <v>0</v>
      </c>
      <c r="W613" t="s">
        <v>14</v>
      </c>
      <c r="X613">
        <v>30.33</v>
      </c>
    </row>
    <row r="614" spans="1:24" ht="15">
      <c r="A614">
        <v>607</v>
      </c>
      <c r="B614">
        <v>94768</v>
      </c>
      <c r="C614" t="s">
        <v>1679</v>
      </c>
      <c r="D614" t="s">
        <v>30</v>
      </c>
      <c r="E614" t="s">
        <v>12</v>
      </c>
      <c r="F614" t="str">
        <f>"00223821"</f>
        <v>00223821</v>
      </c>
      <c r="G614">
        <v>19.25</v>
      </c>
      <c r="H614">
        <v>0</v>
      </c>
      <c r="I614">
        <v>0</v>
      </c>
      <c r="J614">
        <v>0</v>
      </c>
      <c r="K614">
        <v>0</v>
      </c>
      <c r="L614">
        <v>7</v>
      </c>
      <c r="O614">
        <v>7</v>
      </c>
      <c r="P614">
        <v>4</v>
      </c>
      <c r="Q614">
        <v>0</v>
      </c>
      <c r="R614">
        <v>30.25</v>
      </c>
      <c r="S614">
        <v>0</v>
      </c>
      <c r="T614">
        <v>0</v>
      </c>
      <c r="U614">
        <v>0</v>
      </c>
      <c r="V614">
        <v>0</v>
      </c>
      <c r="W614" t="s">
        <v>14</v>
      </c>
      <c r="X614">
        <v>30.25</v>
      </c>
    </row>
    <row r="615" spans="1:24" ht="15">
      <c r="A615">
        <v>608</v>
      </c>
      <c r="B615">
        <v>5420</v>
      </c>
      <c r="C615" t="s">
        <v>133</v>
      </c>
      <c r="D615" t="s">
        <v>29</v>
      </c>
      <c r="E615" t="s">
        <v>124</v>
      </c>
      <c r="F615" t="str">
        <f>"00601412"</f>
        <v>00601412</v>
      </c>
      <c r="G615">
        <v>17.18</v>
      </c>
      <c r="H615">
        <v>0</v>
      </c>
      <c r="I615">
        <v>0</v>
      </c>
      <c r="J615">
        <v>0</v>
      </c>
      <c r="K615">
        <v>0</v>
      </c>
      <c r="N615">
        <v>3</v>
      </c>
      <c r="O615">
        <v>3</v>
      </c>
      <c r="P615">
        <v>4</v>
      </c>
      <c r="Q615">
        <v>0</v>
      </c>
      <c r="R615">
        <v>24.18</v>
      </c>
      <c r="S615">
        <v>0</v>
      </c>
      <c r="T615">
        <v>0</v>
      </c>
      <c r="U615">
        <v>6</v>
      </c>
      <c r="V615">
        <v>0</v>
      </c>
      <c r="W615" t="s">
        <v>14</v>
      </c>
      <c r="X615">
        <v>30.18</v>
      </c>
    </row>
    <row r="616" spans="1:24" ht="15">
      <c r="A616">
        <v>609</v>
      </c>
      <c r="B616">
        <v>81897</v>
      </c>
      <c r="C616" t="s">
        <v>1682</v>
      </c>
      <c r="D616" t="s">
        <v>35</v>
      </c>
      <c r="E616" t="s">
        <v>76</v>
      </c>
      <c r="F616" t="str">
        <f>"00644442"</f>
        <v>00644442</v>
      </c>
      <c r="G616">
        <v>17.18</v>
      </c>
      <c r="H616">
        <v>0</v>
      </c>
      <c r="I616">
        <v>0</v>
      </c>
      <c r="J616">
        <v>0</v>
      </c>
      <c r="K616">
        <v>0</v>
      </c>
      <c r="N616">
        <v>3</v>
      </c>
      <c r="O616">
        <v>3</v>
      </c>
      <c r="P616">
        <v>4</v>
      </c>
      <c r="Q616">
        <v>0</v>
      </c>
      <c r="R616">
        <v>24.18</v>
      </c>
      <c r="S616">
        <v>0</v>
      </c>
      <c r="T616">
        <v>0</v>
      </c>
      <c r="U616">
        <v>6</v>
      </c>
      <c r="V616">
        <v>0</v>
      </c>
      <c r="W616" t="s">
        <v>14</v>
      </c>
      <c r="X616">
        <v>30.18</v>
      </c>
    </row>
    <row r="617" spans="1:24" ht="15">
      <c r="A617">
        <v>610</v>
      </c>
      <c r="B617">
        <v>99127</v>
      </c>
      <c r="C617" t="s">
        <v>1684</v>
      </c>
      <c r="D617" t="s">
        <v>252</v>
      </c>
      <c r="E617" t="s">
        <v>12</v>
      </c>
      <c r="F617" t="str">
        <f>"00624826"</f>
        <v>00624826</v>
      </c>
      <c r="G617">
        <v>19.08</v>
      </c>
      <c r="H617">
        <v>0</v>
      </c>
      <c r="I617">
        <v>0</v>
      </c>
      <c r="J617">
        <v>0</v>
      </c>
      <c r="K617">
        <v>0</v>
      </c>
      <c r="L617">
        <v>7</v>
      </c>
      <c r="O617">
        <v>7</v>
      </c>
      <c r="P617">
        <v>4</v>
      </c>
      <c r="Q617">
        <v>0</v>
      </c>
      <c r="R617">
        <v>30.08</v>
      </c>
      <c r="S617">
        <v>0</v>
      </c>
      <c r="T617">
        <v>0</v>
      </c>
      <c r="U617">
        <v>0</v>
      </c>
      <c r="V617">
        <v>0</v>
      </c>
      <c r="W617" t="s">
        <v>14</v>
      </c>
      <c r="X617">
        <v>30.08</v>
      </c>
    </row>
    <row r="618" spans="1:24" ht="15">
      <c r="A618">
        <v>611</v>
      </c>
      <c r="B618">
        <v>67157</v>
      </c>
      <c r="C618" t="s">
        <v>1208</v>
      </c>
      <c r="D618" t="s">
        <v>1685</v>
      </c>
      <c r="E618" t="s">
        <v>124</v>
      </c>
      <c r="F618" t="str">
        <f>"00300587"</f>
        <v>00300587</v>
      </c>
      <c r="G618">
        <v>17.05</v>
      </c>
      <c r="H618">
        <v>0</v>
      </c>
      <c r="I618">
        <v>0</v>
      </c>
      <c r="J618">
        <v>0</v>
      </c>
      <c r="K618">
        <v>0</v>
      </c>
      <c r="N618">
        <v>3</v>
      </c>
      <c r="O618">
        <v>3</v>
      </c>
      <c r="P618">
        <v>4</v>
      </c>
      <c r="Q618">
        <v>0</v>
      </c>
      <c r="R618">
        <v>24.05</v>
      </c>
      <c r="S618">
        <v>0</v>
      </c>
      <c r="T618">
        <v>0</v>
      </c>
      <c r="U618">
        <v>6</v>
      </c>
      <c r="V618">
        <v>0</v>
      </c>
      <c r="W618" t="s">
        <v>14</v>
      </c>
      <c r="X618">
        <v>30.05</v>
      </c>
    </row>
    <row r="619" spans="1:24" ht="15">
      <c r="A619">
        <v>612</v>
      </c>
      <c r="B619">
        <v>7464</v>
      </c>
      <c r="C619" t="s">
        <v>1686</v>
      </c>
      <c r="D619" t="s">
        <v>23</v>
      </c>
      <c r="E619" t="s">
        <v>17</v>
      </c>
      <c r="F619" t="str">
        <f>"00607349"</f>
        <v>00607349</v>
      </c>
      <c r="G619">
        <v>17.03</v>
      </c>
      <c r="H619">
        <v>0</v>
      </c>
      <c r="I619">
        <v>0</v>
      </c>
      <c r="J619">
        <v>0</v>
      </c>
      <c r="K619">
        <v>0</v>
      </c>
      <c r="N619">
        <v>3</v>
      </c>
      <c r="O619">
        <v>3</v>
      </c>
      <c r="P619">
        <v>4</v>
      </c>
      <c r="Q619">
        <v>0</v>
      </c>
      <c r="R619">
        <v>24.03</v>
      </c>
      <c r="S619">
        <v>0</v>
      </c>
      <c r="T619">
        <v>0</v>
      </c>
      <c r="U619">
        <v>6</v>
      </c>
      <c r="V619">
        <v>0</v>
      </c>
      <c r="W619" t="s">
        <v>14</v>
      </c>
      <c r="X619">
        <v>30.03</v>
      </c>
    </row>
    <row r="620" spans="1:24" ht="15">
      <c r="A620">
        <v>613</v>
      </c>
      <c r="B620">
        <v>95312</v>
      </c>
      <c r="C620" t="s">
        <v>1687</v>
      </c>
      <c r="D620" t="s">
        <v>1688</v>
      </c>
      <c r="E620" t="s">
        <v>1689</v>
      </c>
      <c r="F620" t="str">
        <f>"00428438"</f>
        <v>00428438</v>
      </c>
      <c r="G620">
        <v>20</v>
      </c>
      <c r="H620">
        <v>0</v>
      </c>
      <c r="I620">
        <v>0</v>
      </c>
      <c r="J620">
        <v>0</v>
      </c>
      <c r="K620">
        <v>0</v>
      </c>
      <c r="O620">
        <v>0</v>
      </c>
      <c r="P620">
        <v>4</v>
      </c>
      <c r="Q620">
        <v>0</v>
      </c>
      <c r="R620">
        <v>24</v>
      </c>
      <c r="S620">
        <v>0</v>
      </c>
      <c r="T620">
        <v>0</v>
      </c>
      <c r="U620">
        <v>6</v>
      </c>
      <c r="V620">
        <v>0</v>
      </c>
      <c r="W620" t="s">
        <v>14</v>
      </c>
      <c r="X620">
        <v>30</v>
      </c>
    </row>
    <row r="621" spans="1:24" ht="15">
      <c r="A621">
        <v>614</v>
      </c>
      <c r="B621">
        <v>14170</v>
      </c>
      <c r="C621" t="s">
        <v>1690</v>
      </c>
      <c r="D621" t="s">
        <v>746</v>
      </c>
      <c r="E621" t="s">
        <v>1290</v>
      </c>
      <c r="F621" t="str">
        <f>"200712000836"</f>
        <v>200712000836</v>
      </c>
      <c r="G621">
        <v>16</v>
      </c>
      <c r="H621">
        <v>7</v>
      </c>
      <c r="I621">
        <v>0</v>
      </c>
      <c r="J621">
        <v>0</v>
      </c>
      <c r="K621">
        <v>0</v>
      </c>
      <c r="O621">
        <v>0</v>
      </c>
      <c r="P621">
        <v>4</v>
      </c>
      <c r="Q621">
        <v>0</v>
      </c>
      <c r="R621">
        <v>27</v>
      </c>
      <c r="S621">
        <v>0</v>
      </c>
      <c r="T621">
        <v>0</v>
      </c>
      <c r="U621">
        <v>3</v>
      </c>
      <c r="V621">
        <v>0</v>
      </c>
      <c r="W621" t="s">
        <v>14</v>
      </c>
      <c r="X621">
        <v>30</v>
      </c>
    </row>
    <row r="622" spans="1:24" ht="15">
      <c r="A622">
        <v>615</v>
      </c>
      <c r="B622">
        <v>24194</v>
      </c>
      <c r="C622" t="s">
        <v>1691</v>
      </c>
      <c r="D622" t="s">
        <v>122</v>
      </c>
      <c r="E622" t="s">
        <v>120</v>
      </c>
      <c r="F622" t="str">
        <f>"00501436"</f>
        <v>00501436</v>
      </c>
      <c r="G622">
        <v>18.98</v>
      </c>
      <c r="H622">
        <v>0</v>
      </c>
      <c r="I622">
        <v>0</v>
      </c>
      <c r="J622">
        <v>0</v>
      </c>
      <c r="K622">
        <v>0</v>
      </c>
      <c r="L622">
        <v>7</v>
      </c>
      <c r="O622">
        <v>7</v>
      </c>
      <c r="P622">
        <v>4</v>
      </c>
      <c r="Q622">
        <v>0</v>
      </c>
      <c r="R622">
        <v>29.98</v>
      </c>
      <c r="S622">
        <v>0</v>
      </c>
      <c r="T622">
        <v>0</v>
      </c>
      <c r="U622">
        <v>0</v>
      </c>
      <c r="V622">
        <v>0</v>
      </c>
      <c r="W622" t="s">
        <v>14</v>
      </c>
      <c r="X622">
        <v>29.98</v>
      </c>
    </row>
    <row r="623" spans="1:24" ht="15">
      <c r="A623">
        <v>616</v>
      </c>
      <c r="B623">
        <v>10771</v>
      </c>
      <c r="C623" t="s">
        <v>1692</v>
      </c>
      <c r="D623" t="s">
        <v>46</v>
      </c>
      <c r="E623" t="s">
        <v>21</v>
      </c>
      <c r="F623" t="str">
        <f>"201504000425"</f>
        <v>201504000425</v>
      </c>
      <c r="G623">
        <v>16.95</v>
      </c>
      <c r="H623">
        <v>0</v>
      </c>
      <c r="I623">
        <v>0</v>
      </c>
      <c r="J623">
        <v>0</v>
      </c>
      <c r="K623">
        <v>0</v>
      </c>
      <c r="N623">
        <v>6</v>
      </c>
      <c r="O623">
        <v>6</v>
      </c>
      <c r="P623">
        <v>4</v>
      </c>
      <c r="Q623">
        <v>0</v>
      </c>
      <c r="R623">
        <v>26.95</v>
      </c>
      <c r="S623">
        <v>0</v>
      </c>
      <c r="T623">
        <v>0</v>
      </c>
      <c r="U623">
        <v>3</v>
      </c>
      <c r="V623">
        <v>0</v>
      </c>
      <c r="W623" t="s">
        <v>14</v>
      </c>
      <c r="X623">
        <v>29.95</v>
      </c>
    </row>
    <row r="624" spans="1:24" ht="15">
      <c r="A624">
        <v>617</v>
      </c>
      <c r="B624">
        <v>5144</v>
      </c>
      <c r="C624" t="s">
        <v>1694</v>
      </c>
      <c r="D624" t="s">
        <v>902</v>
      </c>
      <c r="E624" t="s">
        <v>507</v>
      </c>
      <c r="F624" t="str">
        <f>"00297840"</f>
        <v>00297840</v>
      </c>
      <c r="G624">
        <v>15.88</v>
      </c>
      <c r="H624">
        <v>0</v>
      </c>
      <c r="I624">
        <v>0</v>
      </c>
      <c r="J624">
        <v>0</v>
      </c>
      <c r="K624">
        <v>0</v>
      </c>
      <c r="L624">
        <v>7</v>
      </c>
      <c r="N624">
        <v>3</v>
      </c>
      <c r="O624">
        <v>10</v>
      </c>
      <c r="P624">
        <v>4</v>
      </c>
      <c r="Q624">
        <v>0</v>
      </c>
      <c r="R624">
        <v>29.88</v>
      </c>
      <c r="S624">
        <v>0</v>
      </c>
      <c r="T624">
        <v>0</v>
      </c>
      <c r="U624">
        <v>0</v>
      </c>
      <c r="V624">
        <v>0</v>
      </c>
      <c r="W624" t="s">
        <v>14</v>
      </c>
      <c r="X624">
        <v>29.88</v>
      </c>
    </row>
    <row r="625" spans="1:24" ht="15">
      <c r="A625">
        <v>618</v>
      </c>
      <c r="B625">
        <v>26072</v>
      </c>
      <c r="C625" t="s">
        <v>1695</v>
      </c>
      <c r="D625" t="s">
        <v>814</v>
      </c>
      <c r="E625" t="s">
        <v>27</v>
      </c>
      <c r="F625" t="str">
        <f>"00624961"</f>
        <v>00624961</v>
      </c>
      <c r="G625">
        <v>16.88</v>
      </c>
      <c r="H625">
        <v>0</v>
      </c>
      <c r="I625">
        <v>0</v>
      </c>
      <c r="J625">
        <v>0</v>
      </c>
      <c r="K625">
        <v>0</v>
      </c>
      <c r="L625">
        <v>7</v>
      </c>
      <c r="O625">
        <v>7</v>
      </c>
      <c r="P625">
        <v>4</v>
      </c>
      <c r="Q625">
        <v>0</v>
      </c>
      <c r="R625">
        <v>27.88</v>
      </c>
      <c r="S625">
        <v>2</v>
      </c>
      <c r="T625">
        <v>2</v>
      </c>
      <c r="U625">
        <v>0</v>
      </c>
      <c r="V625">
        <v>0</v>
      </c>
      <c r="W625" t="s">
        <v>14</v>
      </c>
      <c r="X625">
        <v>29.88</v>
      </c>
    </row>
    <row r="626" spans="1:24" ht="15">
      <c r="A626">
        <v>619</v>
      </c>
      <c r="B626">
        <v>55353</v>
      </c>
      <c r="C626" t="s">
        <v>1697</v>
      </c>
      <c r="D626" t="s">
        <v>1698</v>
      </c>
      <c r="E626" t="s">
        <v>1699</v>
      </c>
      <c r="F626" t="str">
        <f>"00468478"</f>
        <v>00468478</v>
      </c>
      <c r="G626">
        <v>18.83</v>
      </c>
      <c r="H626">
        <v>0</v>
      </c>
      <c r="I626">
        <v>0</v>
      </c>
      <c r="J626">
        <v>0</v>
      </c>
      <c r="K626">
        <v>0</v>
      </c>
      <c r="L626">
        <v>7</v>
      </c>
      <c r="O626">
        <v>7</v>
      </c>
      <c r="P626">
        <v>4</v>
      </c>
      <c r="Q626">
        <v>0</v>
      </c>
      <c r="R626">
        <v>29.83</v>
      </c>
      <c r="S626">
        <v>0</v>
      </c>
      <c r="T626">
        <v>0</v>
      </c>
      <c r="U626">
        <v>0</v>
      </c>
      <c r="V626">
        <v>0</v>
      </c>
      <c r="W626" t="s">
        <v>14</v>
      </c>
      <c r="X626">
        <v>29.83</v>
      </c>
    </row>
    <row r="627" spans="1:24" ht="15">
      <c r="A627">
        <v>620</v>
      </c>
      <c r="B627">
        <v>1382</v>
      </c>
      <c r="C627" t="s">
        <v>1708</v>
      </c>
      <c r="D627" t="s">
        <v>1089</v>
      </c>
      <c r="E627" t="s">
        <v>465</v>
      </c>
      <c r="F627" t="str">
        <f>"00041534"</f>
        <v>00041534</v>
      </c>
      <c r="G627">
        <v>15.7</v>
      </c>
      <c r="H627">
        <v>0</v>
      </c>
      <c r="I627">
        <v>0</v>
      </c>
      <c r="J627">
        <v>0</v>
      </c>
      <c r="K627">
        <v>0</v>
      </c>
      <c r="L627">
        <v>7</v>
      </c>
      <c r="O627">
        <v>7</v>
      </c>
      <c r="P627">
        <v>4</v>
      </c>
      <c r="Q627">
        <v>0</v>
      </c>
      <c r="R627">
        <v>26.7</v>
      </c>
      <c r="S627">
        <v>0</v>
      </c>
      <c r="T627">
        <v>0</v>
      </c>
      <c r="U627">
        <v>3</v>
      </c>
      <c r="V627">
        <v>0</v>
      </c>
      <c r="W627" t="s">
        <v>14</v>
      </c>
      <c r="X627">
        <v>29.7</v>
      </c>
    </row>
    <row r="628" spans="1:24" ht="15">
      <c r="A628">
        <v>621</v>
      </c>
      <c r="B628">
        <v>14792</v>
      </c>
      <c r="C628" t="s">
        <v>1709</v>
      </c>
      <c r="D628" t="s">
        <v>1710</v>
      </c>
      <c r="E628" t="s">
        <v>1711</v>
      </c>
      <c r="F628" t="str">
        <f>"201406009708"</f>
        <v>201406009708</v>
      </c>
      <c r="G628">
        <v>18.7</v>
      </c>
      <c r="H628">
        <v>0</v>
      </c>
      <c r="I628">
        <v>0</v>
      </c>
      <c r="J628">
        <v>0</v>
      </c>
      <c r="K628">
        <v>0</v>
      </c>
      <c r="L628">
        <v>7</v>
      </c>
      <c r="O628">
        <v>7</v>
      </c>
      <c r="P628">
        <v>4</v>
      </c>
      <c r="Q628">
        <v>0</v>
      </c>
      <c r="R628">
        <v>29.7</v>
      </c>
      <c r="S628">
        <v>0</v>
      </c>
      <c r="T628">
        <v>0</v>
      </c>
      <c r="U628">
        <v>0</v>
      </c>
      <c r="V628">
        <v>0</v>
      </c>
      <c r="W628" t="s">
        <v>14</v>
      </c>
      <c r="X628">
        <v>29.7</v>
      </c>
    </row>
    <row r="629" spans="1:24" ht="15">
      <c r="A629">
        <v>622</v>
      </c>
      <c r="B629">
        <v>2637</v>
      </c>
      <c r="C629" t="s">
        <v>1713</v>
      </c>
      <c r="D629" t="s">
        <v>199</v>
      </c>
      <c r="E629" t="s">
        <v>375</v>
      </c>
      <c r="F629" t="str">
        <f>"200801000484"</f>
        <v>200801000484</v>
      </c>
      <c r="G629">
        <v>14.65</v>
      </c>
      <c r="H629">
        <v>0</v>
      </c>
      <c r="I629">
        <v>0</v>
      </c>
      <c r="J629">
        <v>0</v>
      </c>
      <c r="K629">
        <v>0</v>
      </c>
      <c r="N629">
        <v>3</v>
      </c>
      <c r="O629">
        <v>3</v>
      </c>
      <c r="P629">
        <v>4</v>
      </c>
      <c r="Q629">
        <v>2</v>
      </c>
      <c r="R629">
        <v>23.65</v>
      </c>
      <c r="S629">
        <v>0</v>
      </c>
      <c r="T629">
        <v>0</v>
      </c>
      <c r="U629">
        <v>6</v>
      </c>
      <c r="V629">
        <v>0</v>
      </c>
      <c r="W629" t="s">
        <v>14</v>
      </c>
      <c r="X629">
        <v>29.65</v>
      </c>
    </row>
    <row r="630" spans="1:24" ht="15">
      <c r="A630">
        <v>623</v>
      </c>
      <c r="B630">
        <v>26528</v>
      </c>
      <c r="C630" t="s">
        <v>455</v>
      </c>
      <c r="D630" t="s">
        <v>728</v>
      </c>
      <c r="E630" t="s">
        <v>91</v>
      </c>
      <c r="F630" t="str">
        <f>"00437281"</f>
        <v>00437281</v>
      </c>
      <c r="G630">
        <v>18.65</v>
      </c>
      <c r="H630">
        <v>0</v>
      </c>
      <c r="I630">
        <v>0</v>
      </c>
      <c r="J630">
        <v>0</v>
      </c>
      <c r="K630">
        <v>0</v>
      </c>
      <c r="L630">
        <v>7</v>
      </c>
      <c r="O630">
        <v>7</v>
      </c>
      <c r="P630">
        <v>4</v>
      </c>
      <c r="Q630">
        <v>0</v>
      </c>
      <c r="R630">
        <v>29.65</v>
      </c>
      <c r="S630">
        <v>0</v>
      </c>
      <c r="T630">
        <v>0</v>
      </c>
      <c r="U630">
        <v>0</v>
      </c>
      <c r="V630">
        <v>0</v>
      </c>
      <c r="W630" t="s">
        <v>14</v>
      </c>
      <c r="X630">
        <v>29.65</v>
      </c>
    </row>
    <row r="631" spans="1:24" ht="15">
      <c r="A631">
        <v>624</v>
      </c>
      <c r="B631">
        <v>61718</v>
      </c>
      <c r="C631" t="s">
        <v>1719</v>
      </c>
      <c r="D631" t="s">
        <v>1720</v>
      </c>
      <c r="E631" t="s">
        <v>1721</v>
      </c>
      <c r="F631" t="str">
        <f>"00614630"</f>
        <v>00614630</v>
      </c>
      <c r="G631">
        <v>18.6</v>
      </c>
      <c r="H631">
        <v>0</v>
      </c>
      <c r="I631">
        <v>0</v>
      </c>
      <c r="J631">
        <v>0</v>
      </c>
      <c r="K631">
        <v>0</v>
      </c>
      <c r="L631">
        <v>7</v>
      </c>
      <c r="O631">
        <v>7</v>
      </c>
      <c r="P631">
        <v>4</v>
      </c>
      <c r="Q631">
        <v>0</v>
      </c>
      <c r="R631">
        <v>29.6</v>
      </c>
      <c r="S631">
        <v>0</v>
      </c>
      <c r="T631">
        <v>0</v>
      </c>
      <c r="U631">
        <v>0</v>
      </c>
      <c r="V631">
        <v>0</v>
      </c>
      <c r="W631" t="s">
        <v>14</v>
      </c>
      <c r="X631">
        <v>29.6</v>
      </c>
    </row>
    <row r="632" spans="1:24" ht="15">
      <c r="A632">
        <v>625</v>
      </c>
      <c r="B632">
        <v>60645</v>
      </c>
      <c r="C632" t="s">
        <v>1725</v>
      </c>
      <c r="D632" t="s">
        <v>1726</v>
      </c>
      <c r="E632" t="s">
        <v>360</v>
      </c>
      <c r="F632" t="str">
        <f>"00186398"</f>
        <v>00186398</v>
      </c>
      <c r="G632">
        <v>18.48</v>
      </c>
      <c r="H632">
        <v>0</v>
      </c>
      <c r="I632">
        <v>0</v>
      </c>
      <c r="J632">
        <v>0</v>
      </c>
      <c r="K632">
        <v>0</v>
      </c>
      <c r="L632">
        <v>7</v>
      </c>
      <c r="O632">
        <v>7</v>
      </c>
      <c r="P632">
        <v>4</v>
      </c>
      <c r="Q632">
        <v>0</v>
      </c>
      <c r="R632">
        <v>29.48</v>
      </c>
      <c r="S632">
        <v>0</v>
      </c>
      <c r="T632">
        <v>0</v>
      </c>
      <c r="U632">
        <v>0</v>
      </c>
      <c r="V632">
        <v>0</v>
      </c>
      <c r="W632" t="s">
        <v>14</v>
      </c>
      <c r="X632">
        <v>29.48</v>
      </c>
    </row>
    <row r="633" spans="1:24" ht="15">
      <c r="A633">
        <v>626</v>
      </c>
      <c r="B633">
        <v>29000</v>
      </c>
      <c r="C633" t="s">
        <v>412</v>
      </c>
      <c r="D633" t="s">
        <v>16</v>
      </c>
      <c r="E633" t="s">
        <v>44</v>
      </c>
      <c r="F633" t="str">
        <f>"00318573"</f>
        <v>00318573</v>
      </c>
      <c r="G633">
        <v>18.48</v>
      </c>
      <c r="H633">
        <v>0</v>
      </c>
      <c r="I633">
        <v>0</v>
      </c>
      <c r="J633">
        <v>0</v>
      </c>
      <c r="K633">
        <v>0</v>
      </c>
      <c r="L633">
        <v>7</v>
      </c>
      <c r="O633">
        <v>7</v>
      </c>
      <c r="P633">
        <v>4</v>
      </c>
      <c r="Q633">
        <v>0</v>
      </c>
      <c r="R633">
        <v>29.48</v>
      </c>
      <c r="S633">
        <v>0</v>
      </c>
      <c r="T633">
        <v>0</v>
      </c>
      <c r="U633">
        <v>0</v>
      </c>
      <c r="V633">
        <v>0</v>
      </c>
      <c r="W633" t="s">
        <v>14</v>
      </c>
      <c r="X633">
        <v>29.48</v>
      </c>
    </row>
    <row r="634" spans="1:24" ht="15">
      <c r="A634">
        <v>627</v>
      </c>
      <c r="B634">
        <v>25985</v>
      </c>
      <c r="C634" t="s">
        <v>1727</v>
      </c>
      <c r="D634" t="s">
        <v>75</v>
      </c>
      <c r="E634" t="s">
        <v>21</v>
      </c>
      <c r="F634" t="str">
        <f>"00185433"</f>
        <v>00185433</v>
      </c>
      <c r="G634">
        <v>18.45</v>
      </c>
      <c r="H634">
        <v>0</v>
      </c>
      <c r="I634">
        <v>0</v>
      </c>
      <c r="J634">
        <v>0</v>
      </c>
      <c r="K634">
        <v>0</v>
      </c>
      <c r="L634">
        <v>7</v>
      </c>
      <c r="O634">
        <v>7</v>
      </c>
      <c r="P634">
        <v>4</v>
      </c>
      <c r="Q634">
        <v>0</v>
      </c>
      <c r="R634">
        <v>29.45</v>
      </c>
      <c r="S634">
        <v>0</v>
      </c>
      <c r="T634">
        <v>0</v>
      </c>
      <c r="U634">
        <v>0</v>
      </c>
      <c r="V634">
        <v>0</v>
      </c>
      <c r="W634" t="s">
        <v>14</v>
      </c>
      <c r="X634">
        <v>29.45</v>
      </c>
    </row>
    <row r="635" spans="1:24" ht="15">
      <c r="A635">
        <v>628</v>
      </c>
      <c r="B635">
        <v>115804</v>
      </c>
      <c r="C635" t="s">
        <v>672</v>
      </c>
      <c r="D635" t="s">
        <v>186</v>
      </c>
      <c r="E635" t="s">
        <v>408</v>
      </c>
      <c r="F635" t="str">
        <f>"00111687"</f>
        <v>00111687</v>
      </c>
      <c r="G635">
        <v>16.43</v>
      </c>
      <c r="H635">
        <v>0</v>
      </c>
      <c r="I635">
        <v>0</v>
      </c>
      <c r="J635">
        <v>0</v>
      </c>
      <c r="K635">
        <v>0</v>
      </c>
      <c r="N635">
        <v>3</v>
      </c>
      <c r="O635">
        <v>3</v>
      </c>
      <c r="P635">
        <v>4</v>
      </c>
      <c r="Q635">
        <v>0</v>
      </c>
      <c r="R635">
        <v>23.43</v>
      </c>
      <c r="S635">
        <v>0</v>
      </c>
      <c r="T635">
        <v>0</v>
      </c>
      <c r="U635">
        <v>6</v>
      </c>
      <c r="V635">
        <v>0</v>
      </c>
      <c r="W635" t="s">
        <v>14</v>
      </c>
      <c r="X635">
        <v>29.43</v>
      </c>
    </row>
    <row r="636" spans="1:24" ht="15">
      <c r="A636">
        <v>629</v>
      </c>
      <c r="B636">
        <v>4601</v>
      </c>
      <c r="C636" t="s">
        <v>1731</v>
      </c>
      <c r="D636" t="s">
        <v>965</v>
      </c>
      <c r="E636" t="s">
        <v>106</v>
      </c>
      <c r="F636" t="str">
        <f>"00255854"</f>
        <v>00255854</v>
      </c>
      <c r="G636">
        <v>16.35</v>
      </c>
      <c r="H636">
        <v>0</v>
      </c>
      <c r="I636">
        <v>0</v>
      </c>
      <c r="J636">
        <v>0</v>
      </c>
      <c r="K636">
        <v>0</v>
      </c>
      <c r="N636">
        <v>3</v>
      </c>
      <c r="O636">
        <v>3</v>
      </c>
      <c r="P636">
        <v>4</v>
      </c>
      <c r="Q636">
        <v>0</v>
      </c>
      <c r="R636">
        <v>23.35</v>
      </c>
      <c r="S636">
        <v>0</v>
      </c>
      <c r="T636">
        <v>0</v>
      </c>
      <c r="U636">
        <v>6</v>
      </c>
      <c r="V636">
        <v>0</v>
      </c>
      <c r="W636" t="s">
        <v>14</v>
      </c>
      <c r="X636">
        <v>29.35</v>
      </c>
    </row>
    <row r="637" spans="1:24" ht="15">
      <c r="A637">
        <v>630</v>
      </c>
      <c r="B637">
        <v>86779</v>
      </c>
      <c r="C637" t="s">
        <v>1732</v>
      </c>
      <c r="D637" t="s">
        <v>683</v>
      </c>
      <c r="E637" t="s">
        <v>109</v>
      </c>
      <c r="F637" t="str">
        <f>"00254768"</f>
        <v>00254768</v>
      </c>
      <c r="G637">
        <v>17.33</v>
      </c>
      <c r="H637">
        <v>0</v>
      </c>
      <c r="I637">
        <v>0</v>
      </c>
      <c r="J637">
        <v>0</v>
      </c>
      <c r="K637">
        <v>0</v>
      </c>
      <c r="M637">
        <v>5</v>
      </c>
      <c r="O637">
        <v>5</v>
      </c>
      <c r="P637">
        <v>4</v>
      </c>
      <c r="Q637">
        <v>0</v>
      </c>
      <c r="R637">
        <v>26.33</v>
      </c>
      <c r="S637">
        <v>0</v>
      </c>
      <c r="T637">
        <v>0</v>
      </c>
      <c r="U637">
        <v>3</v>
      </c>
      <c r="V637">
        <v>0</v>
      </c>
      <c r="W637" t="s">
        <v>14</v>
      </c>
      <c r="X637">
        <v>29.33</v>
      </c>
    </row>
    <row r="638" spans="1:24" ht="15">
      <c r="A638">
        <v>631</v>
      </c>
      <c r="B638">
        <v>89683</v>
      </c>
      <c r="C638" t="s">
        <v>1737</v>
      </c>
      <c r="D638" t="s">
        <v>236</v>
      </c>
      <c r="E638" t="s">
        <v>30</v>
      </c>
      <c r="F638" t="str">
        <f>"200903000410"</f>
        <v>200903000410</v>
      </c>
      <c r="G638">
        <v>18.23</v>
      </c>
      <c r="H638">
        <v>0</v>
      </c>
      <c r="I638">
        <v>0</v>
      </c>
      <c r="J638">
        <v>0</v>
      </c>
      <c r="K638">
        <v>0</v>
      </c>
      <c r="L638">
        <v>7</v>
      </c>
      <c r="O638">
        <v>7</v>
      </c>
      <c r="P638">
        <v>4</v>
      </c>
      <c r="Q638">
        <v>0</v>
      </c>
      <c r="R638">
        <v>29.23</v>
      </c>
      <c r="S638">
        <v>0</v>
      </c>
      <c r="T638">
        <v>0</v>
      </c>
      <c r="U638">
        <v>0</v>
      </c>
      <c r="V638">
        <v>0</v>
      </c>
      <c r="W638" t="s">
        <v>14</v>
      </c>
      <c r="X638">
        <v>29.23</v>
      </c>
    </row>
    <row r="639" spans="1:24" ht="15">
      <c r="A639">
        <v>632</v>
      </c>
      <c r="B639">
        <v>91857</v>
      </c>
      <c r="C639" t="s">
        <v>1740</v>
      </c>
      <c r="D639" t="s">
        <v>333</v>
      </c>
      <c r="E639" t="s">
        <v>1490</v>
      </c>
      <c r="F639" t="str">
        <f>"00636667"</f>
        <v>00636667</v>
      </c>
      <c r="G639">
        <v>18.18</v>
      </c>
      <c r="H639">
        <v>0</v>
      </c>
      <c r="I639">
        <v>0</v>
      </c>
      <c r="J639">
        <v>0</v>
      </c>
      <c r="K639">
        <v>0</v>
      </c>
      <c r="L639">
        <v>7</v>
      </c>
      <c r="O639">
        <v>7</v>
      </c>
      <c r="P639">
        <v>4</v>
      </c>
      <c r="Q639">
        <v>0</v>
      </c>
      <c r="R639">
        <v>29.18</v>
      </c>
      <c r="S639">
        <v>0</v>
      </c>
      <c r="T639">
        <v>0</v>
      </c>
      <c r="U639">
        <v>0</v>
      </c>
      <c r="V639">
        <v>0</v>
      </c>
      <c r="W639" t="s">
        <v>14</v>
      </c>
      <c r="X639">
        <v>29.18</v>
      </c>
    </row>
    <row r="640" spans="1:24" ht="15">
      <c r="A640">
        <v>633</v>
      </c>
      <c r="B640">
        <v>107532</v>
      </c>
      <c r="C640" t="s">
        <v>300</v>
      </c>
      <c r="D640" t="s">
        <v>97</v>
      </c>
      <c r="E640" t="s">
        <v>375</v>
      </c>
      <c r="F640" t="str">
        <f>"00646089"</f>
        <v>00646089</v>
      </c>
      <c r="G640">
        <v>19.15</v>
      </c>
      <c r="H640">
        <v>0</v>
      </c>
      <c r="I640">
        <v>0</v>
      </c>
      <c r="J640">
        <v>0</v>
      </c>
      <c r="K640">
        <v>0</v>
      </c>
      <c r="N640">
        <v>3</v>
      </c>
      <c r="O640">
        <v>3</v>
      </c>
      <c r="P640">
        <v>4</v>
      </c>
      <c r="Q640">
        <v>0</v>
      </c>
      <c r="R640">
        <v>26.15</v>
      </c>
      <c r="S640">
        <v>0</v>
      </c>
      <c r="T640">
        <v>0</v>
      </c>
      <c r="U640">
        <v>3</v>
      </c>
      <c r="V640">
        <v>0</v>
      </c>
      <c r="W640" t="s">
        <v>14</v>
      </c>
      <c r="X640">
        <v>29.15</v>
      </c>
    </row>
    <row r="641" spans="1:24" ht="15">
      <c r="A641">
        <v>634</v>
      </c>
      <c r="B641">
        <v>115817</v>
      </c>
      <c r="C641" t="s">
        <v>1741</v>
      </c>
      <c r="D641" t="s">
        <v>21</v>
      </c>
      <c r="E641" t="s">
        <v>12</v>
      </c>
      <c r="F641" t="str">
        <f>"201406011149"</f>
        <v>201406011149</v>
      </c>
      <c r="G641">
        <v>18.15</v>
      </c>
      <c r="H641">
        <v>0</v>
      </c>
      <c r="I641">
        <v>0</v>
      </c>
      <c r="J641">
        <v>0</v>
      </c>
      <c r="K641">
        <v>0</v>
      </c>
      <c r="L641">
        <v>7</v>
      </c>
      <c r="O641">
        <v>7</v>
      </c>
      <c r="P641">
        <v>4</v>
      </c>
      <c r="Q641">
        <v>0</v>
      </c>
      <c r="R641">
        <v>29.15</v>
      </c>
      <c r="S641">
        <v>0</v>
      </c>
      <c r="T641">
        <v>0</v>
      </c>
      <c r="U641">
        <v>0</v>
      </c>
      <c r="V641">
        <v>0</v>
      </c>
      <c r="W641" t="s">
        <v>14</v>
      </c>
      <c r="X641">
        <v>29.15</v>
      </c>
    </row>
    <row r="642" spans="1:24" ht="15">
      <c r="A642">
        <v>635</v>
      </c>
      <c r="B642">
        <v>55151</v>
      </c>
      <c r="C642" t="s">
        <v>1742</v>
      </c>
      <c r="D642" t="s">
        <v>97</v>
      </c>
      <c r="E642" t="s">
        <v>44</v>
      </c>
      <c r="F642" t="str">
        <f>"00265096"</f>
        <v>00265096</v>
      </c>
      <c r="G642">
        <v>16.1</v>
      </c>
      <c r="H642">
        <v>0</v>
      </c>
      <c r="I642">
        <v>0</v>
      </c>
      <c r="J642">
        <v>0</v>
      </c>
      <c r="K642">
        <v>0</v>
      </c>
      <c r="N642">
        <v>3</v>
      </c>
      <c r="O642">
        <v>3</v>
      </c>
      <c r="P642">
        <v>4</v>
      </c>
      <c r="Q642">
        <v>0</v>
      </c>
      <c r="R642">
        <v>23.1</v>
      </c>
      <c r="S642">
        <v>0</v>
      </c>
      <c r="T642">
        <v>0</v>
      </c>
      <c r="U642">
        <v>6</v>
      </c>
      <c r="V642">
        <v>0</v>
      </c>
      <c r="W642" t="s">
        <v>14</v>
      </c>
      <c r="X642">
        <v>29.1</v>
      </c>
    </row>
    <row r="643" spans="1:24" ht="15">
      <c r="A643">
        <v>636</v>
      </c>
      <c r="B643">
        <v>19143</v>
      </c>
      <c r="C643" t="s">
        <v>1744</v>
      </c>
      <c r="D643" t="s">
        <v>50</v>
      </c>
      <c r="E643" t="s">
        <v>465</v>
      </c>
      <c r="F643" t="str">
        <f>"200904000270"</f>
        <v>200904000270</v>
      </c>
      <c r="G643">
        <v>16.08</v>
      </c>
      <c r="H643">
        <v>0</v>
      </c>
      <c r="I643">
        <v>0</v>
      </c>
      <c r="J643">
        <v>0</v>
      </c>
      <c r="K643">
        <v>0</v>
      </c>
      <c r="L643">
        <v>7</v>
      </c>
      <c r="O643">
        <v>7</v>
      </c>
      <c r="P643">
        <v>4</v>
      </c>
      <c r="Q643">
        <v>2</v>
      </c>
      <c r="R643">
        <v>29.08</v>
      </c>
      <c r="S643">
        <v>0</v>
      </c>
      <c r="T643">
        <v>0</v>
      </c>
      <c r="U643">
        <v>0</v>
      </c>
      <c r="V643">
        <v>0</v>
      </c>
      <c r="W643" t="s">
        <v>14</v>
      </c>
      <c r="X643">
        <v>29.08</v>
      </c>
    </row>
    <row r="644" spans="1:24" ht="15">
      <c r="A644">
        <v>637</v>
      </c>
      <c r="B644">
        <v>75070</v>
      </c>
      <c r="C644" t="s">
        <v>1745</v>
      </c>
      <c r="D644" t="s">
        <v>814</v>
      </c>
      <c r="E644" t="s">
        <v>17</v>
      </c>
      <c r="F644" t="str">
        <f>"201406014989"</f>
        <v>201406014989</v>
      </c>
      <c r="G644">
        <v>18.05</v>
      </c>
      <c r="H644">
        <v>0</v>
      </c>
      <c r="I644">
        <v>0</v>
      </c>
      <c r="J644">
        <v>0</v>
      </c>
      <c r="K644">
        <v>0</v>
      </c>
      <c r="N644">
        <v>3</v>
      </c>
      <c r="O644">
        <v>3</v>
      </c>
      <c r="P644">
        <v>4</v>
      </c>
      <c r="Q644">
        <v>0</v>
      </c>
      <c r="R644">
        <v>25.05</v>
      </c>
      <c r="S644">
        <v>1</v>
      </c>
      <c r="T644">
        <v>1</v>
      </c>
      <c r="U644">
        <v>3</v>
      </c>
      <c r="V644">
        <v>0</v>
      </c>
      <c r="W644" t="s">
        <v>14</v>
      </c>
      <c r="X644">
        <v>29.05</v>
      </c>
    </row>
    <row r="645" spans="1:24" ht="15">
      <c r="A645">
        <v>638</v>
      </c>
      <c r="B645">
        <v>106721</v>
      </c>
      <c r="C645" t="s">
        <v>1747</v>
      </c>
      <c r="D645" t="s">
        <v>37</v>
      </c>
      <c r="E645" t="s">
        <v>111</v>
      </c>
      <c r="F645" t="str">
        <f>"00583107"</f>
        <v>00583107</v>
      </c>
      <c r="G645">
        <v>18.03</v>
      </c>
      <c r="H645">
        <v>0</v>
      </c>
      <c r="I645">
        <v>0</v>
      </c>
      <c r="J645">
        <v>0</v>
      </c>
      <c r="K645">
        <v>0</v>
      </c>
      <c r="L645">
        <v>7</v>
      </c>
      <c r="O645">
        <v>7</v>
      </c>
      <c r="P645">
        <v>4</v>
      </c>
      <c r="Q645">
        <v>0</v>
      </c>
      <c r="R645">
        <v>29.03</v>
      </c>
      <c r="S645">
        <v>0</v>
      </c>
      <c r="T645">
        <v>0</v>
      </c>
      <c r="U645">
        <v>0</v>
      </c>
      <c r="V645">
        <v>0</v>
      </c>
      <c r="W645" t="s">
        <v>14</v>
      </c>
      <c r="X645">
        <v>29.03</v>
      </c>
    </row>
    <row r="646" spans="1:24" ht="15">
      <c r="A646">
        <v>639</v>
      </c>
      <c r="B646">
        <v>93932</v>
      </c>
      <c r="C646" t="s">
        <v>1748</v>
      </c>
      <c r="D646" t="s">
        <v>820</v>
      </c>
      <c r="E646" t="s">
        <v>135</v>
      </c>
      <c r="F646" t="str">
        <f>"00361565"</f>
        <v>00361565</v>
      </c>
      <c r="G646">
        <v>15.98</v>
      </c>
      <c r="H646">
        <v>0</v>
      </c>
      <c r="I646">
        <v>0</v>
      </c>
      <c r="J646">
        <v>0</v>
      </c>
      <c r="K646">
        <v>0</v>
      </c>
      <c r="O646">
        <v>0</v>
      </c>
      <c r="P646">
        <v>4</v>
      </c>
      <c r="Q646">
        <v>0</v>
      </c>
      <c r="R646">
        <v>19.98</v>
      </c>
      <c r="S646">
        <v>3</v>
      </c>
      <c r="T646">
        <v>3</v>
      </c>
      <c r="U646">
        <v>6</v>
      </c>
      <c r="V646">
        <v>0</v>
      </c>
      <c r="W646" t="s">
        <v>14</v>
      </c>
      <c r="X646">
        <v>28.98</v>
      </c>
    </row>
    <row r="647" spans="1:24" ht="15">
      <c r="A647">
        <v>640</v>
      </c>
      <c r="B647">
        <v>15014</v>
      </c>
      <c r="C647" t="s">
        <v>772</v>
      </c>
      <c r="D647" t="s">
        <v>21</v>
      </c>
      <c r="E647" t="s">
        <v>1749</v>
      </c>
      <c r="F647" t="str">
        <f>"201009000119"</f>
        <v>201009000119</v>
      </c>
      <c r="G647">
        <v>15.98</v>
      </c>
      <c r="H647">
        <v>0</v>
      </c>
      <c r="I647">
        <v>0</v>
      </c>
      <c r="J647">
        <v>0</v>
      </c>
      <c r="K647">
        <v>0</v>
      </c>
      <c r="L647">
        <v>7</v>
      </c>
      <c r="O647">
        <v>7</v>
      </c>
      <c r="P647">
        <v>4</v>
      </c>
      <c r="Q647">
        <v>2</v>
      </c>
      <c r="R647">
        <v>28.98</v>
      </c>
      <c r="S647">
        <v>0</v>
      </c>
      <c r="T647">
        <v>0</v>
      </c>
      <c r="U647">
        <v>0</v>
      </c>
      <c r="V647">
        <v>0</v>
      </c>
      <c r="W647" t="s">
        <v>14</v>
      </c>
      <c r="X647">
        <v>28.98</v>
      </c>
    </row>
    <row r="648" spans="1:24" ht="15">
      <c r="A648">
        <v>641</v>
      </c>
      <c r="B648">
        <v>62153</v>
      </c>
      <c r="C648" t="s">
        <v>756</v>
      </c>
      <c r="D648" t="s">
        <v>1753</v>
      </c>
      <c r="E648" t="s">
        <v>30</v>
      </c>
      <c r="F648" t="str">
        <f>"00367388"</f>
        <v>00367388</v>
      </c>
      <c r="G648">
        <v>17.95</v>
      </c>
      <c r="H648">
        <v>0</v>
      </c>
      <c r="I648">
        <v>0</v>
      </c>
      <c r="J648">
        <v>0</v>
      </c>
      <c r="K648">
        <v>0</v>
      </c>
      <c r="L648">
        <v>7</v>
      </c>
      <c r="O648">
        <v>7</v>
      </c>
      <c r="P648">
        <v>4</v>
      </c>
      <c r="Q648">
        <v>0</v>
      </c>
      <c r="R648">
        <v>28.95</v>
      </c>
      <c r="S648">
        <v>0</v>
      </c>
      <c r="T648">
        <v>0</v>
      </c>
      <c r="U648">
        <v>0</v>
      </c>
      <c r="V648">
        <v>0</v>
      </c>
      <c r="W648" t="s">
        <v>14</v>
      </c>
      <c r="X648">
        <v>28.95</v>
      </c>
    </row>
    <row r="649" spans="1:24" ht="15">
      <c r="A649">
        <v>642</v>
      </c>
      <c r="B649">
        <v>48068</v>
      </c>
      <c r="C649" t="s">
        <v>1756</v>
      </c>
      <c r="D649" t="s">
        <v>1757</v>
      </c>
      <c r="E649" t="s">
        <v>391</v>
      </c>
      <c r="F649" t="str">
        <f>"200802001818"</f>
        <v>200802001818</v>
      </c>
      <c r="G649">
        <v>15.9</v>
      </c>
      <c r="H649">
        <v>0</v>
      </c>
      <c r="I649">
        <v>0</v>
      </c>
      <c r="J649">
        <v>0</v>
      </c>
      <c r="K649">
        <v>0</v>
      </c>
      <c r="N649">
        <v>3</v>
      </c>
      <c r="O649">
        <v>3</v>
      </c>
      <c r="P649">
        <v>4</v>
      </c>
      <c r="Q649">
        <v>0</v>
      </c>
      <c r="R649">
        <v>22.9</v>
      </c>
      <c r="S649">
        <v>0</v>
      </c>
      <c r="T649">
        <v>0</v>
      </c>
      <c r="U649">
        <v>6</v>
      </c>
      <c r="V649">
        <v>0</v>
      </c>
      <c r="W649" t="s">
        <v>14</v>
      </c>
      <c r="X649">
        <v>28.9</v>
      </c>
    </row>
    <row r="650" spans="1:24" ht="15">
      <c r="A650">
        <v>643</v>
      </c>
      <c r="B650">
        <v>115480</v>
      </c>
      <c r="C650" t="s">
        <v>1758</v>
      </c>
      <c r="D650" t="s">
        <v>201</v>
      </c>
      <c r="E650" t="s">
        <v>30</v>
      </c>
      <c r="F650" t="str">
        <f>"00634927"</f>
        <v>00634927</v>
      </c>
      <c r="G650">
        <v>15.9</v>
      </c>
      <c r="H650">
        <v>0</v>
      </c>
      <c r="I650">
        <v>0</v>
      </c>
      <c r="J650">
        <v>0</v>
      </c>
      <c r="K650">
        <v>0</v>
      </c>
      <c r="N650">
        <v>3</v>
      </c>
      <c r="O650">
        <v>3</v>
      </c>
      <c r="P650">
        <v>4</v>
      </c>
      <c r="Q650">
        <v>0</v>
      </c>
      <c r="R650">
        <v>22.9</v>
      </c>
      <c r="S650">
        <v>0</v>
      </c>
      <c r="T650">
        <v>0</v>
      </c>
      <c r="U650">
        <v>6</v>
      </c>
      <c r="V650">
        <v>0</v>
      </c>
      <c r="W650" t="s">
        <v>14</v>
      </c>
      <c r="X650">
        <v>28.9</v>
      </c>
    </row>
    <row r="651" spans="1:24" ht="15">
      <c r="A651">
        <v>644</v>
      </c>
      <c r="B651">
        <v>69867</v>
      </c>
      <c r="C651" t="s">
        <v>264</v>
      </c>
      <c r="D651" t="s">
        <v>173</v>
      </c>
      <c r="E651" t="s">
        <v>30</v>
      </c>
      <c r="F651" t="str">
        <f>"201406006135"</f>
        <v>201406006135</v>
      </c>
      <c r="G651">
        <v>15.88</v>
      </c>
      <c r="H651">
        <v>0</v>
      </c>
      <c r="I651">
        <v>0</v>
      </c>
      <c r="J651">
        <v>0</v>
      </c>
      <c r="K651">
        <v>0</v>
      </c>
      <c r="N651">
        <v>3</v>
      </c>
      <c r="O651">
        <v>3</v>
      </c>
      <c r="P651">
        <v>4</v>
      </c>
      <c r="Q651">
        <v>0</v>
      </c>
      <c r="R651">
        <v>22.88</v>
      </c>
      <c r="S651">
        <v>0</v>
      </c>
      <c r="T651">
        <v>0</v>
      </c>
      <c r="U651">
        <v>6</v>
      </c>
      <c r="V651">
        <v>0</v>
      </c>
      <c r="W651" t="s">
        <v>14</v>
      </c>
      <c r="X651">
        <v>28.88</v>
      </c>
    </row>
    <row r="652" spans="1:24" ht="15">
      <c r="A652">
        <v>645</v>
      </c>
      <c r="B652">
        <v>38237</v>
      </c>
      <c r="C652" t="s">
        <v>1768</v>
      </c>
      <c r="D652" t="s">
        <v>27</v>
      </c>
      <c r="E652" t="s">
        <v>30</v>
      </c>
      <c r="F652" t="str">
        <f>"00076725"</f>
        <v>00076725</v>
      </c>
      <c r="G652">
        <v>14.75</v>
      </c>
      <c r="H652">
        <v>0</v>
      </c>
      <c r="I652">
        <v>0</v>
      </c>
      <c r="J652">
        <v>0</v>
      </c>
      <c r="K652">
        <v>0</v>
      </c>
      <c r="L652">
        <v>7</v>
      </c>
      <c r="O652">
        <v>7</v>
      </c>
      <c r="P652">
        <v>4</v>
      </c>
      <c r="Q652">
        <v>0</v>
      </c>
      <c r="R652">
        <v>25.75</v>
      </c>
      <c r="S652">
        <v>0</v>
      </c>
      <c r="T652">
        <v>0</v>
      </c>
      <c r="U652">
        <v>3</v>
      </c>
      <c r="V652">
        <v>0</v>
      </c>
      <c r="W652" t="s">
        <v>14</v>
      </c>
      <c r="X652">
        <v>28.75</v>
      </c>
    </row>
    <row r="653" spans="1:24" ht="15">
      <c r="A653">
        <v>646</v>
      </c>
      <c r="B653">
        <v>95785</v>
      </c>
      <c r="C653" t="s">
        <v>1771</v>
      </c>
      <c r="D653" t="s">
        <v>23</v>
      </c>
      <c r="E653" t="s">
        <v>124</v>
      </c>
      <c r="F653" t="str">
        <f>"00629923"</f>
        <v>00629923</v>
      </c>
      <c r="G653">
        <v>17.7</v>
      </c>
      <c r="H653">
        <v>0</v>
      </c>
      <c r="I653">
        <v>0</v>
      </c>
      <c r="J653">
        <v>0</v>
      </c>
      <c r="K653">
        <v>0</v>
      </c>
      <c r="L653">
        <v>7</v>
      </c>
      <c r="O653">
        <v>7</v>
      </c>
      <c r="P653">
        <v>4</v>
      </c>
      <c r="Q653">
        <v>0</v>
      </c>
      <c r="R653">
        <v>28.7</v>
      </c>
      <c r="S653">
        <v>0</v>
      </c>
      <c r="T653">
        <v>0</v>
      </c>
      <c r="U653">
        <v>0</v>
      </c>
      <c r="V653">
        <v>0</v>
      </c>
      <c r="W653" t="s">
        <v>14</v>
      </c>
      <c r="X653">
        <v>28.7</v>
      </c>
    </row>
    <row r="654" spans="1:24" ht="15">
      <c r="A654">
        <v>647</v>
      </c>
      <c r="B654">
        <v>21095</v>
      </c>
      <c r="C654" t="s">
        <v>1772</v>
      </c>
      <c r="D654" t="s">
        <v>29</v>
      </c>
      <c r="E654" t="s">
        <v>20</v>
      </c>
      <c r="F654" t="str">
        <f>"00246907"</f>
        <v>00246907</v>
      </c>
      <c r="G654">
        <v>17.68</v>
      </c>
      <c r="H654">
        <v>0</v>
      </c>
      <c r="I654">
        <v>0</v>
      </c>
      <c r="J654">
        <v>0</v>
      </c>
      <c r="K654">
        <v>0</v>
      </c>
      <c r="N654">
        <v>3</v>
      </c>
      <c r="O654">
        <v>3</v>
      </c>
      <c r="P654">
        <v>4</v>
      </c>
      <c r="Q654">
        <v>2</v>
      </c>
      <c r="R654">
        <v>26.68</v>
      </c>
      <c r="S654">
        <v>2</v>
      </c>
      <c r="T654">
        <v>2</v>
      </c>
      <c r="U654">
        <v>0</v>
      </c>
      <c r="V654">
        <v>0</v>
      </c>
      <c r="W654" t="s">
        <v>14</v>
      </c>
      <c r="X654">
        <v>28.68</v>
      </c>
    </row>
    <row r="655" spans="1:24" ht="15">
      <c r="A655">
        <v>648</v>
      </c>
      <c r="B655">
        <v>78566</v>
      </c>
      <c r="C655" t="s">
        <v>1775</v>
      </c>
      <c r="D655" t="s">
        <v>90</v>
      </c>
      <c r="E655" t="s">
        <v>60</v>
      </c>
      <c r="F655" t="str">
        <f>"00436515"</f>
        <v>00436515</v>
      </c>
      <c r="G655">
        <v>15.63</v>
      </c>
      <c r="H655">
        <v>0</v>
      </c>
      <c r="I655">
        <v>0</v>
      </c>
      <c r="J655">
        <v>0</v>
      </c>
      <c r="K655">
        <v>0</v>
      </c>
      <c r="N655">
        <v>3</v>
      </c>
      <c r="O655">
        <v>3</v>
      </c>
      <c r="P655">
        <v>4</v>
      </c>
      <c r="Q655">
        <v>0</v>
      </c>
      <c r="R655">
        <v>22.63</v>
      </c>
      <c r="S655">
        <v>0</v>
      </c>
      <c r="T655">
        <v>0</v>
      </c>
      <c r="U655">
        <v>6</v>
      </c>
      <c r="V655">
        <v>0</v>
      </c>
      <c r="W655" t="s">
        <v>14</v>
      </c>
      <c r="X655">
        <v>28.63</v>
      </c>
    </row>
    <row r="656" spans="1:24" ht="15">
      <c r="A656">
        <v>649</v>
      </c>
      <c r="B656">
        <v>97215</v>
      </c>
      <c r="C656" t="s">
        <v>1776</v>
      </c>
      <c r="D656" t="s">
        <v>554</v>
      </c>
      <c r="E656" t="s">
        <v>114</v>
      </c>
      <c r="F656" t="str">
        <f>"00158921"</f>
        <v>00158921</v>
      </c>
      <c r="G656">
        <v>18.6</v>
      </c>
      <c r="H656">
        <v>0</v>
      </c>
      <c r="I656">
        <v>0</v>
      </c>
      <c r="J656">
        <v>0</v>
      </c>
      <c r="K656">
        <v>0</v>
      </c>
      <c r="N656">
        <v>3</v>
      </c>
      <c r="O656">
        <v>3</v>
      </c>
      <c r="P656">
        <v>4</v>
      </c>
      <c r="Q656">
        <v>0</v>
      </c>
      <c r="R656">
        <v>25.6</v>
      </c>
      <c r="S656">
        <v>0</v>
      </c>
      <c r="T656">
        <v>0</v>
      </c>
      <c r="U656">
        <v>3</v>
      </c>
      <c r="V656">
        <v>0</v>
      </c>
      <c r="W656" t="s">
        <v>14</v>
      </c>
      <c r="X656">
        <v>28.6</v>
      </c>
    </row>
    <row r="657" spans="1:24" ht="15">
      <c r="A657">
        <v>650</v>
      </c>
      <c r="B657">
        <v>70625</v>
      </c>
      <c r="C657" t="s">
        <v>1777</v>
      </c>
      <c r="D657" t="s">
        <v>122</v>
      </c>
      <c r="E657" t="s">
        <v>135</v>
      </c>
      <c r="F657" t="str">
        <f>"00430785"</f>
        <v>00430785</v>
      </c>
      <c r="G657">
        <v>18.6</v>
      </c>
      <c r="H657">
        <v>0</v>
      </c>
      <c r="I657">
        <v>0</v>
      </c>
      <c r="J657">
        <v>0</v>
      </c>
      <c r="K657">
        <v>0</v>
      </c>
      <c r="N657">
        <v>6</v>
      </c>
      <c r="O657">
        <v>6</v>
      </c>
      <c r="P657">
        <v>4</v>
      </c>
      <c r="Q657">
        <v>0</v>
      </c>
      <c r="R657">
        <v>28.6</v>
      </c>
      <c r="S657">
        <v>0</v>
      </c>
      <c r="T657">
        <v>0</v>
      </c>
      <c r="U657">
        <v>0</v>
      </c>
      <c r="V657">
        <v>0</v>
      </c>
      <c r="W657" t="s">
        <v>14</v>
      </c>
      <c r="X657">
        <v>28.6</v>
      </c>
    </row>
    <row r="658" spans="1:24" ht="15">
      <c r="A658">
        <v>651</v>
      </c>
      <c r="B658">
        <v>51822</v>
      </c>
      <c r="C658" t="s">
        <v>1779</v>
      </c>
      <c r="D658" t="s">
        <v>80</v>
      </c>
      <c r="E658" t="s">
        <v>17</v>
      </c>
      <c r="F658" t="str">
        <f>"00609003"</f>
        <v>00609003</v>
      </c>
      <c r="G658">
        <v>18.53</v>
      </c>
      <c r="H658">
        <v>0</v>
      </c>
      <c r="I658">
        <v>0</v>
      </c>
      <c r="J658">
        <v>0</v>
      </c>
      <c r="K658">
        <v>0</v>
      </c>
      <c r="N658">
        <v>3</v>
      </c>
      <c r="O658">
        <v>3</v>
      </c>
      <c r="P658">
        <v>4</v>
      </c>
      <c r="Q658">
        <v>0</v>
      </c>
      <c r="R658">
        <v>25.53</v>
      </c>
      <c r="S658">
        <v>0</v>
      </c>
      <c r="T658">
        <v>0</v>
      </c>
      <c r="U658">
        <v>3</v>
      </c>
      <c r="V658">
        <v>0</v>
      </c>
      <c r="W658" t="s">
        <v>14</v>
      </c>
      <c r="X658">
        <v>28.53</v>
      </c>
    </row>
    <row r="659" spans="1:24" ht="15">
      <c r="A659">
        <v>652</v>
      </c>
      <c r="B659">
        <v>36988</v>
      </c>
      <c r="C659" t="s">
        <v>1780</v>
      </c>
      <c r="D659" t="s">
        <v>27</v>
      </c>
      <c r="E659" t="s">
        <v>44</v>
      </c>
      <c r="F659" t="str">
        <f>"00320977"</f>
        <v>00320977</v>
      </c>
      <c r="G659">
        <v>16.5</v>
      </c>
      <c r="H659">
        <v>0</v>
      </c>
      <c r="I659">
        <v>0</v>
      </c>
      <c r="J659">
        <v>0</v>
      </c>
      <c r="K659">
        <v>0</v>
      </c>
      <c r="O659">
        <v>0</v>
      </c>
      <c r="P659">
        <v>4</v>
      </c>
      <c r="Q659">
        <v>2</v>
      </c>
      <c r="R659">
        <v>22.5</v>
      </c>
      <c r="S659">
        <v>0</v>
      </c>
      <c r="T659">
        <v>0</v>
      </c>
      <c r="U659">
        <v>6</v>
      </c>
      <c r="V659">
        <v>0</v>
      </c>
      <c r="W659" t="s">
        <v>14</v>
      </c>
      <c r="X659">
        <v>28.5</v>
      </c>
    </row>
    <row r="660" spans="1:24" ht="15">
      <c r="A660">
        <v>653</v>
      </c>
      <c r="B660">
        <v>60001</v>
      </c>
      <c r="C660" t="s">
        <v>1782</v>
      </c>
      <c r="D660" t="s">
        <v>333</v>
      </c>
      <c r="E660" t="s">
        <v>30</v>
      </c>
      <c r="F660" t="str">
        <f>"00005609"</f>
        <v>00005609</v>
      </c>
      <c r="G660">
        <v>17.45</v>
      </c>
      <c r="H660">
        <v>0</v>
      </c>
      <c r="I660">
        <v>0</v>
      </c>
      <c r="J660">
        <v>0</v>
      </c>
      <c r="K660">
        <v>0</v>
      </c>
      <c r="L660">
        <v>7</v>
      </c>
      <c r="O660">
        <v>7</v>
      </c>
      <c r="P660">
        <v>4</v>
      </c>
      <c r="Q660">
        <v>0</v>
      </c>
      <c r="R660">
        <v>28.45</v>
      </c>
      <c r="S660">
        <v>0</v>
      </c>
      <c r="T660">
        <v>0</v>
      </c>
      <c r="U660">
        <v>0</v>
      </c>
      <c r="V660">
        <v>0</v>
      </c>
      <c r="W660" t="s">
        <v>14</v>
      </c>
      <c r="X660">
        <v>28.45</v>
      </c>
    </row>
    <row r="661" spans="1:24" ht="15">
      <c r="A661">
        <v>654</v>
      </c>
      <c r="B661">
        <v>108285</v>
      </c>
      <c r="C661" t="s">
        <v>1783</v>
      </c>
      <c r="D661" t="s">
        <v>168</v>
      </c>
      <c r="E661" t="s">
        <v>30</v>
      </c>
      <c r="F661" t="str">
        <f>"00620050"</f>
        <v>00620050</v>
      </c>
      <c r="G661">
        <v>16.38</v>
      </c>
      <c r="H661">
        <v>0</v>
      </c>
      <c r="I661">
        <v>0</v>
      </c>
      <c r="J661">
        <v>0</v>
      </c>
      <c r="K661">
        <v>0</v>
      </c>
      <c r="N661">
        <v>3</v>
      </c>
      <c r="O661">
        <v>3</v>
      </c>
      <c r="P661">
        <v>4</v>
      </c>
      <c r="Q661">
        <v>2</v>
      </c>
      <c r="R661">
        <v>25.38</v>
      </c>
      <c r="S661">
        <v>0</v>
      </c>
      <c r="T661">
        <v>0</v>
      </c>
      <c r="U661">
        <v>3</v>
      </c>
      <c r="V661">
        <v>0</v>
      </c>
      <c r="W661" t="s">
        <v>14</v>
      </c>
      <c r="X661">
        <v>28.38</v>
      </c>
    </row>
    <row r="662" spans="1:24" ht="15">
      <c r="A662">
        <v>655</v>
      </c>
      <c r="B662">
        <v>106262</v>
      </c>
      <c r="C662" t="s">
        <v>1784</v>
      </c>
      <c r="D662" t="s">
        <v>44</v>
      </c>
      <c r="E662" t="s">
        <v>23</v>
      </c>
      <c r="F662" t="str">
        <f>"00629727"</f>
        <v>00629727</v>
      </c>
      <c r="G662">
        <v>18.35</v>
      </c>
      <c r="H662">
        <v>0</v>
      </c>
      <c r="I662">
        <v>0</v>
      </c>
      <c r="J662">
        <v>0</v>
      </c>
      <c r="K662">
        <v>0</v>
      </c>
      <c r="O662">
        <v>0</v>
      </c>
      <c r="P662">
        <v>4</v>
      </c>
      <c r="Q662">
        <v>0</v>
      </c>
      <c r="R662">
        <v>22.35</v>
      </c>
      <c r="S662">
        <v>0</v>
      </c>
      <c r="T662">
        <v>0</v>
      </c>
      <c r="U662">
        <v>6</v>
      </c>
      <c r="V662">
        <v>0</v>
      </c>
      <c r="W662" t="s">
        <v>14</v>
      </c>
      <c r="X662">
        <v>28.35</v>
      </c>
    </row>
    <row r="663" spans="1:24" ht="15">
      <c r="A663">
        <v>656</v>
      </c>
      <c r="B663">
        <v>80521</v>
      </c>
      <c r="C663" t="s">
        <v>1787</v>
      </c>
      <c r="D663" t="s">
        <v>370</v>
      </c>
      <c r="E663" t="s">
        <v>30</v>
      </c>
      <c r="F663" t="str">
        <f>"00580828"</f>
        <v>00580828</v>
      </c>
      <c r="G663">
        <v>18.33</v>
      </c>
      <c r="H663">
        <v>0</v>
      </c>
      <c r="I663">
        <v>0</v>
      </c>
      <c r="J663">
        <v>0</v>
      </c>
      <c r="K663">
        <v>0</v>
      </c>
      <c r="N663">
        <v>6</v>
      </c>
      <c r="O663">
        <v>6</v>
      </c>
      <c r="P663">
        <v>4</v>
      </c>
      <c r="Q663">
        <v>0</v>
      </c>
      <c r="R663">
        <v>28.33</v>
      </c>
      <c r="S663">
        <v>0</v>
      </c>
      <c r="T663">
        <v>0</v>
      </c>
      <c r="U663">
        <v>0</v>
      </c>
      <c r="V663">
        <v>0</v>
      </c>
      <c r="W663" t="s">
        <v>14</v>
      </c>
      <c r="X663">
        <v>28.33</v>
      </c>
    </row>
    <row r="664" spans="1:24" ht="15">
      <c r="A664">
        <v>657</v>
      </c>
      <c r="B664">
        <v>44550</v>
      </c>
      <c r="C664" t="s">
        <v>605</v>
      </c>
      <c r="D664" t="s">
        <v>53</v>
      </c>
      <c r="E664" t="s">
        <v>17</v>
      </c>
      <c r="F664" t="str">
        <f>"00471741"</f>
        <v>00471741</v>
      </c>
      <c r="G664">
        <v>17.28</v>
      </c>
      <c r="H664">
        <v>0</v>
      </c>
      <c r="I664">
        <v>0</v>
      </c>
      <c r="J664">
        <v>0</v>
      </c>
      <c r="K664">
        <v>0</v>
      </c>
      <c r="L664">
        <v>7</v>
      </c>
      <c r="O664">
        <v>7</v>
      </c>
      <c r="P664">
        <v>4</v>
      </c>
      <c r="Q664">
        <v>0</v>
      </c>
      <c r="R664">
        <v>28.28</v>
      </c>
      <c r="S664">
        <v>0</v>
      </c>
      <c r="T664">
        <v>0</v>
      </c>
      <c r="U664">
        <v>0</v>
      </c>
      <c r="V664">
        <v>0</v>
      </c>
      <c r="W664" t="s">
        <v>14</v>
      </c>
      <c r="X664">
        <v>28.28</v>
      </c>
    </row>
    <row r="665" spans="1:24" ht="15">
      <c r="A665">
        <v>658</v>
      </c>
      <c r="B665">
        <v>3887</v>
      </c>
      <c r="C665" t="s">
        <v>1789</v>
      </c>
      <c r="D665" t="s">
        <v>1790</v>
      </c>
      <c r="E665" t="s">
        <v>120</v>
      </c>
      <c r="F665" t="str">
        <f>"00566549"</f>
        <v>00566549</v>
      </c>
      <c r="G665">
        <v>18.25</v>
      </c>
      <c r="H665">
        <v>0</v>
      </c>
      <c r="I665">
        <v>0</v>
      </c>
      <c r="J665">
        <v>0</v>
      </c>
      <c r="K665">
        <v>0</v>
      </c>
      <c r="L665">
        <v>7</v>
      </c>
      <c r="N665">
        <v>3</v>
      </c>
      <c r="O665">
        <v>10</v>
      </c>
      <c r="P665">
        <v>0</v>
      </c>
      <c r="Q665">
        <v>0</v>
      </c>
      <c r="R665">
        <v>28.25</v>
      </c>
      <c r="S665">
        <v>0</v>
      </c>
      <c r="T665">
        <v>0</v>
      </c>
      <c r="U665">
        <v>0</v>
      </c>
      <c r="V665">
        <v>0</v>
      </c>
      <c r="W665" t="s">
        <v>14</v>
      </c>
      <c r="X665">
        <v>28.25</v>
      </c>
    </row>
    <row r="666" spans="1:24" ht="15">
      <c r="A666">
        <v>659</v>
      </c>
      <c r="B666">
        <v>75469</v>
      </c>
      <c r="C666" t="s">
        <v>1793</v>
      </c>
      <c r="D666" t="s">
        <v>296</v>
      </c>
      <c r="E666" t="s">
        <v>12</v>
      </c>
      <c r="F666" t="str">
        <f>"00230317"</f>
        <v>00230317</v>
      </c>
      <c r="G666">
        <v>16.18</v>
      </c>
      <c r="H666">
        <v>0</v>
      </c>
      <c r="I666">
        <v>0</v>
      </c>
      <c r="J666">
        <v>0</v>
      </c>
      <c r="K666">
        <v>0</v>
      </c>
      <c r="N666">
        <v>3</v>
      </c>
      <c r="O666">
        <v>3</v>
      </c>
      <c r="P666">
        <v>4</v>
      </c>
      <c r="Q666">
        <v>2</v>
      </c>
      <c r="R666">
        <v>25.18</v>
      </c>
      <c r="S666">
        <v>0</v>
      </c>
      <c r="T666">
        <v>0</v>
      </c>
      <c r="U666">
        <v>3</v>
      </c>
      <c r="V666">
        <v>0</v>
      </c>
      <c r="W666" t="s">
        <v>14</v>
      </c>
      <c r="X666">
        <v>28.18</v>
      </c>
    </row>
    <row r="667" spans="1:24" ht="15">
      <c r="A667">
        <v>660</v>
      </c>
      <c r="B667">
        <v>32148</v>
      </c>
      <c r="C667" t="s">
        <v>1794</v>
      </c>
      <c r="D667" t="s">
        <v>1107</v>
      </c>
      <c r="E667" t="s">
        <v>297</v>
      </c>
      <c r="F667" t="str">
        <f>"00334014"</f>
        <v>00334014</v>
      </c>
      <c r="G667">
        <v>17.15</v>
      </c>
      <c r="H667">
        <v>0</v>
      </c>
      <c r="I667">
        <v>0</v>
      </c>
      <c r="J667">
        <v>0</v>
      </c>
      <c r="K667">
        <v>0</v>
      </c>
      <c r="L667">
        <v>7</v>
      </c>
      <c r="O667">
        <v>7</v>
      </c>
      <c r="P667">
        <v>4</v>
      </c>
      <c r="Q667">
        <v>0</v>
      </c>
      <c r="R667">
        <v>28.15</v>
      </c>
      <c r="S667">
        <v>0</v>
      </c>
      <c r="T667">
        <v>0</v>
      </c>
      <c r="U667">
        <v>0</v>
      </c>
      <c r="V667">
        <v>0</v>
      </c>
      <c r="W667" t="s">
        <v>14</v>
      </c>
      <c r="X667">
        <v>28.15</v>
      </c>
    </row>
    <row r="668" spans="1:24" ht="15">
      <c r="A668">
        <v>661</v>
      </c>
      <c r="B668">
        <v>98077</v>
      </c>
      <c r="C668" t="s">
        <v>1797</v>
      </c>
      <c r="D668" t="s">
        <v>1798</v>
      </c>
      <c r="E668" t="s">
        <v>106</v>
      </c>
      <c r="F668" t="str">
        <f>"00117678"</f>
        <v>00117678</v>
      </c>
      <c r="G668">
        <v>18.13</v>
      </c>
      <c r="H668">
        <v>0</v>
      </c>
      <c r="I668">
        <v>0</v>
      </c>
      <c r="J668">
        <v>0</v>
      </c>
      <c r="K668">
        <v>0</v>
      </c>
      <c r="O668">
        <v>0</v>
      </c>
      <c r="P668">
        <v>4</v>
      </c>
      <c r="Q668">
        <v>0</v>
      </c>
      <c r="R668">
        <v>22.13</v>
      </c>
      <c r="S668">
        <v>0</v>
      </c>
      <c r="T668">
        <v>0</v>
      </c>
      <c r="U668">
        <v>6</v>
      </c>
      <c r="V668">
        <v>0</v>
      </c>
      <c r="W668" t="s">
        <v>14</v>
      </c>
      <c r="X668">
        <v>28.13</v>
      </c>
    </row>
    <row r="669" spans="1:24" ht="15">
      <c r="A669">
        <v>662</v>
      </c>
      <c r="B669">
        <v>59149</v>
      </c>
      <c r="C669" t="s">
        <v>834</v>
      </c>
      <c r="D669" t="s">
        <v>1799</v>
      </c>
      <c r="E669" t="s">
        <v>30</v>
      </c>
      <c r="F669" t="str">
        <f>"00626756"</f>
        <v>00626756</v>
      </c>
      <c r="G669">
        <v>18.13</v>
      </c>
      <c r="H669">
        <v>0</v>
      </c>
      <c r="I669">
        <v>0</v>
      </c>
      <c r="J669">
        <v>0</v>
      </c>
      <c r="K669">
        <v>0</v>
      </c>
      <c r="N669">
        <v>3</v>
      </c>
      <c r="O669">
        <v>3</v>
      </c>
      <c r="P669">
        <v>4</v>
      </c>
      <c r="Q669">
        <v>0</v>
      </c>
      <c r="R669">
        <v>25.13</v>
      </c>
      <c r="S669">
        <v>0</v>
      </c>
      <c r="T669">
        <v>0</v>
      </c>
      <c r="U669">
        <v>3</v>
      </c>
      <c r="V669">
        <v>0</v>
      </c>
      <c r="W669" t="s">
        <v>14</v>
      </c>
      <c r="X669">
        <v>28.13</v>
      </c>
    </row>
    <row r="670" spans="1:24" ht="15">
      <c r="A670">
        <v>663</v>
      </c>
      <c r="B670">
        <v>67433</v>
      </c>
      <c r="C670" t="s">
        <v>1804</v>
      </c>
      <c r="D670" t="s">
        <v>75</v>
      </c>
      <c r="E670" t="s">
        <v>80</v>
      </c>
      <c r="F670" t="str">
        <f>"00315618"</f>
        <v>00315618</v>
      </c>
      <c r="G670">
        <v>16</v>
      </c>
      <c r="H670">
        <v>0</v>
      </c>
      <c r="I670">
        <v>0</v>
      </c>
      <c r="J670">
        <v>0</v>
      </c>
      <c r="K670">
        <v>0</v>
      </c>
      <c r="N670">
        <v>3</v>
      </c>
      <c r="O670">
        <v>3</v>
      </c>
      <c r="P670">
        <v>4</v>
      </c>
      <c r="Q670">
        <v>2</v>
      </c>
      <c r="R670">
        <v>25</v>
      </c>
      <c r="S670">
        <v>0</v>
      </c>
      <c r="T670">
        <v>0</v>
      </c>
      <c r="U670">
        <v>3</v>
      </c>
      <c r="V670">
        <v>0</v>
      </c>
      <c r="W670" t="s">
        <v>14</v>
      </c>
      <c r="X670">
        <v>28</v>
      </c>
    </row>
    <row r="671" spans="1:24" ht="15">
      <c r="A671">
        <v>664</v>
      </c>
      <c r="B671">
        <v>35996</v>
      </c>
      <c r="C671" t="s">
        <v>1805</v>
      </c>
      <c r="D671" t="s">
        <v>138</v>
      </c>
      <c r="E671" t="s">
        <v>39</v>
      </c>
      <c r="F671" t="str">
        <f>"00005786"</f>
        <v>00005786</v>
      </c>
      <c r="G671">
        <v>17</v>
      </c>
      <c r="H671">
        <v>0</v>
      </c>
      <c r="I671">
        <v>0</v>
      </c>
      <c r="J671">
        <v>0</v>
      </c>
      <c r="K671">
        <v>0</v>
      </c>
      <c r="L671">
        <v>7</v>
      </c>
      <c r="O671">
        <v>7</v>
      </c>
      <c r="P671">
        <v>4</v>
      </c>
      <c r="Q671">
        <v>0</v>
      </c>
      <c r="R671">
        <v>28</v>
      </c>
      <c r="S671">
        <v>0</v>
      </c>
      <c r="T671">
        <v>0</v>
      </c>
      <c r="U671">
        <v>0</v>
      </c>
      <c r="V671">
        <v>0</v>
      </c>
      <c r="W671" t="s">
        <v>14</v>
      </c>
      <c r="X671">
        <v>28</v>
      </c>
    </row>
    <row r="672" spans="1:24" ht="15">
      <c r="A672">
        <v>665</v>
      </c>
      <c r="B672">
        <v>53169</v>
      </c>
      <c r="C672" t="s">
        <v>1806</v>
      </c>
      <c r="D672" t="s">
        <v>1807</v>
      </c>
      <c r="E672" t="s">
        <v>1808</v>
      </c>
      <c r="F672" t="str">
        <f>"00253536"</f>
        <v>00253536</v>
      </c>
      <c r="G672">
        <v>17.95</v>
      </c>
      <c r="H672">
        <v>0</v>
      </c>
      <c r="I672">
        <v>0</v>
      </c>
      <c r="J672">
        <v>0</v>
      </c>
      <c r="K672">
        <v>0</v>
      </c>
      <c r="O672">
        <v>0</v>
      </c>
      <c r="P672">
        <v>4</v>
      </c>
      <c r="Q672">
        <v>0</v>
      </c>
      <c r="R672">
        <v>21.95</v>
      </c>
      <c r="S672">
        <v>0</v>
      </c>
      <c r="T672">
        <v>0</v>
      </c>
      <c r="U672">
        <v>6</v>
      </c>
      <c r="V672">
        <v>0</v>
      </c>
      <c r="W672" t="s">
        <v>14</v>
      </c>
      <c r="X672">
        <v>27.95</v>
      </c>
    </row>
    <row r="673" spans="1:24" ht="15">
      <c r="A673">
        <v>666</v>
      </c>
      <c r="B673">
        <v>84987</v>
      </c>
      <c r="C673" t="s">
        <v>1810</v>
      </c>
      <c r="D673" t="s">
        <v>1811</v>
      </c>
      <c r="E673" t="s">
        <v>21</v>
      </c>
      <c r="F673" t="str">
        <f>"00364294"</f>
        <v>00364294</v>
      </c>
      <c r="G673">
        <v>16.95</v>
      </c>
      <c r="H673">
        <v>0</v>
      </c>
      <c r="I673">
        <v>0</v>
      </c>
      <c r="J673">
        <v>0</v>
      </c>
      <c r="K673">
        <v>0</v>
      </c>
      <c r="L673">
        <v>7</v>
      </c>
      <c r="O673">
        <v>7</v>
      </c>
      <c r="P673">
        <v>4</v>
      </c>
      <c r="Q673">
        <v>0</v>
      </c>
      <c r="R673">
        <v>27.95</v>
      </c>
      <c r="S673">
        <v>0</v>
      </c>
      <c r="T673">
        <v>0</v>
      </c>
      <c r="U673">
        <v>0</v>
      </c>
      <c r="V673">
        <v>0</v>
      </c>
      <c r="W673" t="s">
        <v>14</v>
      </c>
      <c r="X673">
        <v>27.95</v>
      </c>
    </row>
    <row r="674" spans="1:24" ht="15">
      <c r="A674">
        <v>667</v>
      </c>
      <c r="B674">
        <v>53438</v>
      </c>
      <c r="C674" t="s">
        <v>1812</v>
      </c>
      <c r="D674" t="s">
        <v>37</v>
      </c>
      <c r="E674" t="s">
        <v>53</v>
      </c>
      <c r="F674" t="str">
        <f>"00255974"</f>
        <v>00255974</v>
      </c>
      <c r="G674">
        <v>16.95</v>
      </c>
      <c r="H674">
        <v>0</v>
      </c>
      <c r="I674">
        <v>0</v>
      </c>
      <c r="J674">
        <v>0</v>
      </c>
      <c r="K674">
        <v>0</v>
      </c>
      <c r="L674">
        <v>7</v>
      </c>
      <c r="O674">
        <v>7</v>
      </c>
      <c r="P674">
        <v>4</v>
      </c>
      <c r="Q674">
        <v>0</v>
      </c>
      <c r="R674">
        <v>27.95</v>
      </c>
      <c r="S674">
        <v>0</v>
      </c>
      <c r="T674">
        <v>0</v>
      </c>
      <c r="U674">
        <v>0</v>
      </c>
      <c r="V674">
        <v>0</v>
      </c>
      <c r="W674" t="s">
        <v>14</v>
      </c>
      <c r="X674">
        <v>27.95</v>
      </c>
    </row>
    <row r="675" spans="1:24" ht="15">
      <c r="A675">
        <v>668</v>
      </c>
      <c r="B675">
        <v>23641</v>
      </c>
      <c r="C675" t="s">
        <v>1813</v>
      </c>
      <c r="D675" t="s">
        <v>29</v>
      </c>
      <c r="E675" t="s">
        <v>288</v>
      </c>
      <c r="F675" t="str">
        <f>"00583186"</f>
        <v>00583186</v>
      </c>
      <c r="G675">
        <v>15.9</v>
      </c>
      <c r="H675">
        <v>0</v>
      </c>
      <c r="I675">
        <v>0</v>
      </c>
      <c r="J675">
        <v>0</v>
      </c>
      <c r="K675">
        <v>0</v>
      </c>
      <c r="N675">
        <v>3</v>
      </c>
      <c r="O675">
        <v>3</v>
      </c>
      <c r="P675">
        <v>4</v>
      </c>
      <c r="Q675">
        <v>2</v>
      </c>
      <c r="R675">
        <v>24.9</v>
      </c>
      <c r="S675">
        <v>0</v>
      </c>
      <c r="T675">
        <v>0</v>
      </c>
      <c r="U675">
        <v>3</v>
      </c>
      <c r="V675">
        <v>0</v>
      </c>
      <c r="W675" t="s">
        <v>14</v>
      </c>
      <c r="X675">
        <v>27.9</v>
      </c>
    </row>
    <row r="676" spans="1:24" ht="15">
      <c r="A676">
        <v>669</v>
      </c>
      <c r="B676">
        <v>75886</v>
      </c>
      <c r="C676" t="s">
        <v>1814</v>
      </c>
      <c r="D676" t="s">
        <v>442</v>
      </c>
      <c r="E676" t="s">
        <v>120</v>
      </c>
      <c r="F676" t="str">
        <f>"00641033"</f>
        <v>00641033</v>
      </c>
      <c r="G676">
        <v>20.8</v>
      </c>
      <c r="H676">
        <v>0</v>
      </c>
      <c r="I676">
        <v>0</v>
      </c>
      <c r="J676">
        <v>0</v>
      </c>
      <c r="K676">
        <v>0</v>
      </c>
      <c r="N676">
        <v>3</v>
      </c>
      <c r="O676">
        <v>3</v>
      </c>
      <c r="P676">
        <v>4</v>
      </c>
      <c r="Q676">
        <v>0</v>
      </c>
      <c r="R676">
        <v>27.8</v>
      </c>
      <c r="S676">
        <v>0</v>
      </c>
      <c r="T676">
        <v>0</v>
      </c>
      <c r="U676">
        <v>0</v>
      </c>
      <c r="V676">
        <v>0</v>
      </c>
      <c r="W676" t="s">
        <v>14</v>
      </c>
      <c r="X676">
        <v>27.8</v>
      </c>
    </row>
    <row r="677" spans="1:24" ht="15">
      <c r="A677">
        <v>670</v>
      </c>
      <c r="B677">
        <v>26580</v>
      </c>
      <c r="C677" t="s">
        <v>1819</v>
      </c>
      <c r="D677" t="s">
        <v>106</v>
      </c>
      <c r="E677" t="s">
        <v>23</v>
      </c>
      <c r="F677" t="str">
        <f>"00346447"</f>
        <v>00346447</v>
      </c>
      <c r="G677">
        <v>17.68</v>
      </c>
      <c r="H677">
        <v>0</v>
      </c>
      <c r="I677">
        <v>0</v>
      </c>
      <c r="J677">
        <v>0</v>
      </c>
      <c r="K677">
        <v>0</v>
      </c>
      <c r="N677">
        <v>3</v>
      </c>
      <c r="O677">
        <v>3</v>
      </c>
      <c r="P677">
        <v>4</v>
      </c>
      <c r="Q677">
        <v>0</v>
      </c>
      <c r="R677">
        <v>24.68</v>
      </c>
      <c r="S677">
        <v>0</v>
      </c>
      <c r="T677">
        <v>0</v>
      </c>
      <c r="U677">
        <v>3</v>
      </c>
      <c r="V677">
        <v>0</v>
      </c>
      <c r="W677" t="s">
        <v>14</v>
      </c>
      <c r="X677">
        <v>27.68</v>
      </c>
    </row>
    <row r="678" spans="1:24" ht="15">
      <c r="A678">
        <v>671</v>
      </c>
      <c r="B678">
        <v>69142</v>
      </c>
      <c r="C678" t="s">
        <v>1821</v>
      </c>
      <c r="D678" t="s">
        <v>1822</v>
      </c>
      <c r="E678" t="s">
        <v>21</v>
      </c>
      <c r="F678" t="str">
        <f>"00558627"</f>
        <v>00558627</v>
      </c>
      <c r="G678">
        <v>17.63</v>
      </c>
      <c r="H678">
        <v>0</v>
      </c>
      <c r="I678">
        <v>0</v>
      </c>
      <c r="J678">
        <v>0</v>
      </c>
      <c r="K678">
        <v>0</v>
      </c>
      <c r="O678">
        <v>0</v>
      </c>
      <c r="P678">
        <v>4</v>
      </c>
      <c r="Q678">
        <v>0</v>
      </c>
      <c r="R678">
        <v>21.63</v>
      </c>
      <c r="S678">
        <v>0</v>
      </c>
      <c r="T678">
        <v>0</v>
      </c>
      <c r="U678">
        <v>6</v>
      </c>
      <c r="V678">
        <v>0</v>
      </c>
      <c r="W678" t="s">
        <v>14</v>
      </c>
      <c r="X678">
        <v>27.63</v>
      </c>
    </row>
    <row r="679" spans="1:24" ht="15">
      <c r="A679">
        <v>672</v>
      </c>
      <c r="B679">
        <v>99538</v>
      </c>
      <c r="C679" t="s">
        <v>1824</v>
      </c>
      <c r="D679" t="s">
        <v>122</v>
      </c>
      <c r="E679" t="s">
        <v>1825</v>
      </c>
      <c r="F679" t="str">
        <f>"00001719"</f>
        <v>00001719</v>
      </c>
      <c r="G679">
        <v>16.6</v>
      </c>
      <c r="H679">
        <v>0</v>
      </c>
      <c r="I679">
        <v>0</v>
      </c>
      <c r="J679">
        <v>0</v>
      </c>
      <c r="K679">
        <v>0</v>
      </c>
      <c r="L679">
        <v>7</v>
      </c>
      <c r="O679">
        <v>7</v>
      </c>
      <c r="P679">
        <v>4</v>
      </c>
      <c r="Q679">
        <v>0</v>
      </c>
      <c r="R679">
        <v>27.6</v>
      </c>
      <c r="S679">
        <v>0</v>
      </c>
      <c r="T679">
        <v>0</v>
      </c>
      <c r="U679">
        <v>0</v>
      </c>
      <c r="V679">
        <v>0</v>
      </c>
      <c r="W679" t="s">
        <v>14</v>
      </c>
      <c r="X679">
        <v>27.6</v>
      </c>
    </row>
    <row r="680" spans="1:24" ht="15">
      <c r="A680">
        <v>673</v>
      </c>
      <c r="B680">
        <v>615</v>
      </c>
      <c r="C680" t="s">
        <v>1826</v>
      </c>
      <c r="D680" t="s">
        <v>101</v>
      </c>
      <c r="E680" t="s">
        <v>20</v>
      </c>
      <c r="F680" t="str">
        <f>"00602896"</f>
        <v>00602896</v>
      </c>
      <c r="G680">
        <v>14.6</v>
      </c>
      <c r="H680">
        <v>0</v>
      </c>
      <c r="I680">
        <v>0</v>
      </c>
      <c r="J680">
        <v>0</v>
      </c>
      <c r="K680">
        <v>0</v>
      </c>
      <c r="L680">
        <v>7</v>
      </c>
      <c r="O680">
        <v>7</v>
      </c>
      <c r="P680">
        <v>4</v>
      </c>
      <c r="Q680">
        <v>2</v>
      </c>
      <c r="R680">
        <v>27.6</v>
      </c>
      <c r="S680">
        <v>0</v>
      </c>
      <c r="T680">
        <v>0</v>
      </c>
      <c r="U680">
        <v>0</v>
      </c>
      <c r="V680">
        <v>0</v>
      </c>
      <c r="W680" t="s">
        <v>14</v>
      </c>
      <c r="X680">
        <v>27.6</v>
      </c>
    </row>
    <row r="681" spans="1:24" ht="15">
      <c r="A681">
        <v>674</v>
      </c>
      <c r="B681">
        <v>13222</v>
      </c>
      <c r="C681" t="s">
        <v>1829</v>
      </c>
      <c r="D681" t="s">
        <v>252</v>
      </c>
      <c r="E681" t="s">
        <v>109</v>
      </c>
      <c r="F681" t="str">
        <f>"200712003301"</f>
        <v>200712003301</v>
      </c>
      <c r="G681">
        <v>15.58</v>
      </c>
      <c r="H681">
        <v>0</v>
      </c>
      <c r="I681">
        <v>0</v>
      </c>
      <c r="J681">
        <v>0</v>
      </c>
      <c r="K681">
        <v>0</v>
      </c>
      <c r="M681">
        <v>5</v>
      </c>
      <c r="O681">
        <v>5</v>
      </c>
      <c r="P681">
        <v>4</v>
      </c>
      <c r="Q681">
        <v>0</v>
      </c>
      <c r="R681">
        <v>24.58</v>
      </c>
      <c r="S681">
        <v>0</v>
      </c>
      <c r="T681">
        <v>0</v>
      </c>
      <c r="U681">
        <v>3</v>
      </c>
      <c r="V681">
        <v>0</v>
      </c>
      <c r="W681" t="s">
        <v>14</v>
      </c>
      <c r="X681">
        <v>27.58</v>
      </c>
    </row>
    <row r="682" spans="1:24" ht="15">
      <c r="A682">
        <v>675</v>
      </c>
      <c r="B682">
        <v>20201</v>
      </c>
      <c r="C682" t="s">
        <v>547</v>
      </c>
      <c r="D682" t="s">
        <v>124</v>
      </c>
      <c r="E682" t="s">
        <v>20</v>
      </c>
      <c r="F682" t="str">
        <f>"00597517"</f>
        <v>00597517</v>
      </c>
      <c r="G682">
        <v>15.55</v>
      </c>
      <c r="H682">
        <v>0</v>
      </c>
      <c r="I682">
        <v>0</v>
      </c>
      <c r="J682">
        <v>0</v>
      </c>
      <c r="K682">
        <v>0</v>
      </c>
      <c r="O682">
        <v>0</v>
      </c>
      <c r="P682">
        <v>4</v>
      </c>
      <c r="Q682">
        <v>2</v>
      </c>
      <c r="R682">
        <v>21.55</v>
      </c>
      <c r="S682">
        <v>0</v>
      </c>
      <c r="T682">
        <v>0</v>
      </c>
      <c r="U682">
        <v>6</v>
      </c>
      <c r="V682">
        <v>0</v>
      </c>
      <c r="W682" t="s">
        <v>14</v>
      </c>
      <c r="X682">
        <v>27.55</v>
      </c>
    </row>
    <row r="683" spans="1:24" ht="15">
      <c r="A683">
        <v>676</v>
      </c>
      <c r="B683">
        <v>79179</v>
      </c>
      <c r="C683" t="s">
        <v>1830</v>
      </c>
      <c r="D683" t="s">
        <v>30</v>
      </c>
      <c r="E683" t="s">
        <v>60</v>
      </c>
      <c r="F683" t="str">
        <f>"00461524"</f>
        <v>00461524</v>
      </c>
      <c r="G683">
        <v>16.53</v>
      </c>
      <c r="H683">
        <v>0</v>
      </c>
      <c r="I683">
        <v>0</v>
      </c>
      <c r="J683">
        <v>0</v>
      </c>
      <c r="K683">
        <v>0</v>
      </c>
      <c r="L683">
        <v>7</v>
      </c>
      <c r="O683">
        <v>7</v>
      </c>
      <c r="P683">
        <v>4</v>
      </c>
      <c r="Q683">
        <v>0</v>
      </c>
      <c r="R683">
        <v>27.53</v>
      </c>
      <c r="S683">
        <v>0</v>
      </c>
      <c r="T683">
        <v>0</v>
      </c>
      <c r="U683">
        <v>0</v>
      </c>
      <c r="V683">
        <v>0</v>
      </c>
      <c r="W683" t="s">
        <v>14</v>
      </c>
      <c r="X683">
        <v>27.53</v>
      </c>
    </row>
    <row r="684" spans="1:24" ht="15">
      <c r="A684">
        <v>677</v>
      </c>
      <c r="B684">
        <v>78668</v>
      </c>
      <c r="C684" t="s">
        <v>1270</v>
      </c>
      <c r="D684" t="s">
        <v>738</v>
      </c>
      <c r="E684" t="s">
        <v>21</v>
      </c>
      <c r="F684" t="str">
        <f>"00637058"</f>
        <v>00637058</v>
      </c>
      <c r="G684">
        <v>17.5</v>
      </c>
      <c r="H684">
        <v>0</v>
      </c>
      <c r="I684">
        <v>0</v>
      </c>
      <c r="J684">
        <v>0</v>
      </c>
      <c r="K684">
        <v>0</v>
      </c>
      <c r="L684">
        <v>7</v>
      </c>
      <c r="N684">
        <v>3</v>
      </c>
      <c r="O684">
        <v>10</v>
      </c>
      <c r="P684">
        <v>0</v>
      </c>
      <c r="Q684">
        <v>0</v>
      </c>
      <c r="R684">
        <v>27.5</v>
      </c>
      <c r="S684">
        <v>0</v>
      </c>
      <c r="T684">
        <v>0</v>
      </c>
      <c r="U684">
        <v>0</v>
      </c>
      <c r="V684">
        <v>0</v>
      </c>
      <c r="W684" t="s">
        <v>14</v>
      </c>
      <c r="X684">
        <v>27.5</v>
      </c>
    </row>
    <row r="685" spans="1:24" ht="15">
      <c r="A685">
        <v>678</v>
      </c>
      <c r="B685">
        <v>102707</v>
      </c>
      <c r="C685" t="s">
        <v>1836</v>
      </c>
      <c r="D685" t="s">
        <v>16</v>
      </c>
      <c r="E685" t="s">
        <v>21</v>
      </c>
      <c r="F685" t="str">
        <f>"00644015"</f>
        <v>00644015</v>
      </c>
      <c r="G685">
        <v>16.5</v>
      </c>
      <c r="H685">
        <v>0</v>
      </c>
      <c r="I685">
        <v>0</v>
      </c>
      <c r="J685">
        <v>0</v>
      </c>
      <c r="K685">
        <v>0</v>
      </c>
      <c r="L685">
        <v>7</v>
      </c>
      <c r="O685">
        <v>7</v>
      </c>
      <c r="P685">
        <v>4</v>
      </c>
      <c r="Q685">
        <v>0</v>
      </c>
      <c r="R685">
        <v>27.5</v>
      </c>
      <c r="S685">
        <v>0</v>
      </c>
      <c r="T685">
        <v>0</v>
      </c>
      <c r="U685">
        <v>0</v>
      </c>
      <c r="V685">
        <v>0</v>
      </c>
      <c r="W685" t="s">
        <v>14</v>
      </c>
      <c r="X685">
        <v>27.5</v>
      </c>
    </row>
    <row r="686" spans="1:24" ht="15">
      <c r="A686">
        <v>679</v>
      </c>
      <c r="B686">
        <v>46453</v>
      </c>
      <c r="C686" t="s">
        <v>1839</v>
      </c>
      <c r="D686" t="s">
        <v>12</v>
      </c>
      <c r="E686" t="s">
        <v>27</v>
      </c>
      <c r="F686" t="str">
        <f>"00188186"</f>
        <v>00188186</v>
      </c>
      <c r="G686">
        <v>17.45</v>
      </c>
      <c r="H686">
        <v>0</v>
      </c>
      <c r="I686">
        <v>0</v>
      </c>
      <c r="J686">
        <v>0</v>
      </c>
      <c r="K686">
        <v>0</v>
      </c>
      <c r="O686">
        <v>0</v>
      </c>
      <c r="P686">
        <v>4</v>
      </c>
      <c r="Q686">
        <v>0</v>
      </c>
      <c r="R686">
        <v>21.45</v>
      </c>
      <c r="S686">
        <v>0</v>
      </c>
      <c r="T686">
        <v>0</v>
      </c>
      <c r="U686">
        <v>6</v>
      </c>
      <c r="V686">
        <v>0</v>
      </c>
      <c r="W686" t="s">
        <v>14</v>
      </c>
      <c r="X686">
        <v>27.45</v>
      </c>
    </row>
    <row r="687" spans="1:24" ht="15">
      <c r="A687">
        <v>680</v>
      </c>
      <c r="B687">
        <v>78191</v>
      </c>
      <c r="C687" t="s">
        <v>1840</v>
      </c>
      <c r="D687" t="s">
        <v>37</v>
      </c>
      <c r="E687" t="s">
        <v>95</v>
      </c>
      <c r="F687" t="str">
        <f>"201410000336"</f>
        <v>201410000336</v>
      </c>
      <c r="G687">
        <v>18.45</v>
      </c>
      <c r="H687">
        <v>0</v>
      </c>
      <c r="I687">
        <v>0</v>
      </c>
      <c r="J687">
        <v>0</v>
      </c>
      <c r="K687">
        <v>0</v>
      </c>
      <c r="N687">
        <v>6</v>
      </c>
      <c r="O687">
        <v>6</v>
      </c>
      <c r="P687">
        <v>0</v>
      </c>
      <c r="Q687">
        <v>0</v>
      </c>
      <c r="R687">
        <v>24.45</v>
      </c>
      <c r="S687">
        <v>0</v>
      </c>
      <c r="T687">
        <v>0</v>
      </c>
      <c r="U687">
        <v>3</v>
      </c>
      <c r="V687">
        <v>0</v>
      </c>
      <c r="W687" t="s">
        <v>14</v>
      </c>
      <c r="X687">
        <v>27.45</v>
      </c>
    </row>
    <row r="688" spans="1:24" ht="15">
      <c r="A688">
        <v>681</v>
      </c>
      <c r="B688">
        <v>39051</v>
      </c>
      <c r="C688" t="s">
        <v>1842</v>
      </c>
      <c r="D688" t="s">
        <v>29</v>
      </c>
      <c r="E688" t="s">
        <v>12</v>
      </c>
      <c r="F688" t="str">
        <f>"201506003141"</f>
        <v>201506003141</v>
      </c>
      <c r="G688">
        <v>18.45</v>
      </c>
      <c r="H688">
        <v>0</v>
      </c>
      <c r="I688">
        <v>0</v>
      </c>
      <c r="J688">
        <v>0</v>
      </c>
      <c r="K688">
        <v>0</v>
      </c>
      <c r="M688">
        <v>5</v>
      </c>
      <c r="O688">
        <v>5</v>
      </c>
      <c r="P688">
        <v>4</v>
      </c>
      <c r="Q688">
        <v>0</v>
      </c>
      <c r="R688">
        <v>27.45</v>
      </c>
      <c r="S688">
        <v>0</v>
      </c>
      <c r="T688">
        <v>0</v>
      </c>
      <c r="U688">
        <v>0</v>
      </c>
      <c r="V688">
        <v>0</v>
      </c>
      <c r="W688" t="s">
        <v>14</v>
      </c>
      <c r="X688">
        <v>27.45</v>
      </c>
    </row>
    <row r="689" spans="1:24" ht="15">
      <c r="A689">
        <v>682</v>
      </c>
      <c r="B689">
        <v>35142</v>
      </c>
      <c r="C689" t="s">
        <v>1843</v>
      </c>
      <c r="D689" t="s">
        <v>75</v>
      </c>
      <c r="E689" t="s">
        <v>111</v>
      </c>
      <c r="F689" t="str">
        <f>"00095854"</f>
        <v>00095854</v>
      </c>
      <c r="G689">
        <v>18.35</v>
      </c>
      <c r="H689">
        <v>0</v>
      </c>
      <c r="I689">
        <v>0</v>
      </c>
      <c r="J689">
        <v>0</v>
      </c>
      <c r="K689">
        <v>0</v>
      </c>
      <c r="N689">
        <v>3</v>
      </c>
      <c r="O689">
        <v>3</v>
      </c>
      <c r="P689">
        <v>4</v>
      </c>
      <c r="Q689">
        <v>2</v>
      </c>
      <c r="R689">
        <v>27.35</v>
      </c>
      <c r="S689">
        <v>0</v>
      </c>
      <c r="T689">
        <v>0</v>
      </c>
      <c r="U689">
        <v>0</v>
      </c>
      <c r="V689">
        <v>0</v>
      </c>
      <c r="W689" t="s">
        <v>14</v>
      </c>
      <c r="X689">
        <v>27.35</v>
      </c>
    </row>
    <row r="690" spans="1:24" ht="15">
      <c r="A690">
        <v>683</v>
      </c>
      <c r="B690">
        <v>26630</v>
      </c>
      <c r="C690" t="s">
        <v>1844</v>
      </c>
      <c r="D690" t="s">
        <v>173</v>
      </c>
      <c r="E690" t="s">
        <v>27</v>
      </c>
      <c r="F690" t="str">
        <f>"00620173"</f>
        <v>00620173</v>
      </c>
      <c r="G690">
        <v>17.33</v>
      </c>
      <c r="H690">
        <v>0</v>
      </c>
      <c r="I690">
        <v>0</v>
      </c>
      <c r="J690">
        <v>0</v>
      </c>
      <c r="K690">
        <v>0</v>
      </c>
      <c r="N690">
        <v>3</v>
      </c>
      <c r="O690">
        <v>3</v>
      </c>
      <c r="P690">
        <v>4</v>
      </c>
      <c r="Q690">
        <v>0</v>
      </c>
      <c r="R690">
        <v>24.33</v>
      </c>
      <c r="S690">
        <v>0</v>
      </c>
      <c r="T690">
        <v>0</v>
      </c>
      <c r="U690">
        <v>3</v>
      </c>
      <c r="V690">
        <v>0</v>
      </c>
      <c r="W690" t="s">
        <v>14</v>
      </c>
      <c r="X690">
        <v>27.33</v>
      </c>
    </row>
    <row r="691" spans="1:24" ht="15">
      <c r="A691">
        <v>684</v>
      </c>
      <c r="B691">
        <v>13718</v>
      </c>
      <c r="C691" t="s">
        <v>1845</v>
      </c>
      <c r="D691" t="s">
        <v>1846</v>
      </c>
      <c r="E691" t="s">
        <v>124</v>
      </c>
      <c r="F691" t="str">
        <f>"00485854"</f>
        <v>00485854</v>
      </c>
      <c r="G691">
        <v>16.33</v>
      </c>
      <c r="H691">
        <v>0</v>
      </c>
      <c r="I691">
        <v>0</v>
      </c>
      <c r="J691">
        <v>0</v>
      </c>
      <c r="K691">
        <v>0</v>
      </c>
      <c r="L691">
        <v>7</v>
      </c>
      <c r="O691">
        <v>7</v>
      </c>
      <c r="P691">
        <v>4</v>
      </c>
      <c r="Q691">
        <v>0</v>
      </c>
      <c r="R691">
        <v>27.33</v>
      </c>
      <c r="S691">
        <v>0</v>
      </c>
      <c r="T691">
        <v>0</v>
      </c>
      <c r="U691">
        <v>0</v>
      </c>
      <c r="V691">
        <v>0</v>
      </c>
      <c r="W691" t="s">
        <v>14</v>
      </c>
      <c r="X691">
        <v>27.33</v>
      </c>
    </row>
    <row r="692" spans="1:24" ht="15">
      <c r="A692">
        <v>685</v>
      </c>
      <c r="B692">
        <v>112513</v>
      </c>
      <c r="C692" t="s">
        <v>1847</v>
      </c>
      <c r="D692" t="s">
        <v>1848</v>
      </c>
      <c r="E692" t="s">
        <v>155</v>
      </c>
      <c r="F692" t="str">
        <f>"00597587"</f>
        <v>00597587</v>
      </c>
      <c r="G692">
        <v>17.3</v>
      </c>
      <c r="H692">
        <v>0</v>
      </c>
      <c r="I692">
        <v>0</v>
      </c>
      <c r="J692">
        <v>0</v>
      </c>
      <c r="K692">
        <v>0</v>
      </c>
      <c r="O692">
        <v>0</v>
      </c>
      <c r="P692">
        <v>4</v>
      </c>
      <c r="Q692">
        <v>0</v>
      </c>
      <c r="R692">
        <v>21.3</v>
      </c>
      <c r="S692">
        <v>0</v>
      </c>
      <c r="T692">
        <v>0</v>
      </c>
      <c r="U692">
        <v>6</v>
      </c>
      <c r="V692">
        <v>0</v>
      </c>
      <c r="W692" t="s">
        <v>14</v>
      </c>
      <c r="X692">
        <v>27.3</v>
      </c>
    </row>
    <row r="693" spans="1:24" ht="15">
      <c r="A693">
        <v>686</v>
      </c>
      <c r="B693">
        <v>59740</v>
      </c>
      <c r="C693" t="s">
        <v>1851</v>
      </c>
      <c r="D693" t="s">
        <v>442</v>
      </c>
      <c r="E693" t="s">
        <v>80</v>
      </c>
      <c r="F693" t="str">
        <f>"00478891"</f>
        <v>00478891</v>
      </c>
      <c r="G693">
        <v>16.28</v>
      </c>
      <c r="H693">
        <v>0</v>
      </c>
      <c r="I693">
        <v>0</v>
      </c>
      <c r="J693">
        <v>0</v>
      </c>
      <c r="K693">
        <v>0</v>
      </c>
      <c r="L693">
        <v>7</v>
      </c>
      <c r="O693">
        <v>7</v>
      </c>
      <c r="P693">
        <v>4</v>
      </c>
      <c r="Q693">
        <v>0</v>
      </c>
      <c r="R693">
        <v>27.28</v>
      </c>
      <c r="S693">
        <v>0</v>
      </c>
      <c r="T693">
        <v>0</v>
      </c>
      <c r="U693">
        <v>0</v>
      </c>
      <c r="V693">
        <v>0</v>
      </c>
      <c r="W693" t="s">
        <v>14</v>
      </c>
      <c r="X693">
        <v>27.28</v>
      </c>
    </row>
    <row r="694" spans="1:24" ht="15">
      <c r="A694">
        <v>687</v>
      </c>
      <c r="B694">
        <v>64812</v>
      </c>
      <c r="C694" t="s">
        <v>1852</v>
      </c>
      <c r="D694" t="s">
        <v>16</v>
      </c>
      <c r="E694" t="s">
        <v>30</v>
      </c>
      <c r="F694" t="str">
        <f>"00005927"</f>
        <v>00005927</v>
      </c>
      <c r="G694">
        <v>16.25</v>
      </c>
      <c r="H694">
        <v>0</v>
      </c>
      <c r="I694">
        <v>0</v>
      </c>
      <c r="J694">
        <v>0</v>
      </c>
      <c r="K694">
        <v>0</v>
      </c>
      <c r="N694">
        <v>3</v>
      </c>
      <c r="O694">
        <v>3</v>
      </c>
      <c r="P694">
        <v>0</v>
      </c>
      <c r="Q694">
        <v>2</v>
      </c>
      <c r="R694">
        <v>21.25</v>
      </c>
      <c r="S694">
        <v>0</v>
      </c>
      <c r="T694">
        <v>0</v>
      </c>
      <c r="U694">
        <v>6</v>
      </c>
      <c r="V694">
        <v>0</v>
      </c>
      <c r="W694" t="s">
        <v>14</v>
      </c>
      <c r="X694">
        <v>27.25</v>
      </c>
    </row>
    <row r="695" spans="1:24" ht="15">
      <c r="A695">
        <v>688</v>
      </c>
      <c r="B695">
        <v>20930</v>
      </c>
      <c r="C695" t="s">
        <v>1853</v>
      </c>
      <c r="D695" t="s">
        <v>1854</v>
      </c>
      <c r="E695" t="s">
        <v>1855</v>
      </c>
      <c r="F695" t="str">
        <f>"00196597"</f>
        <v>00196597</v>
      </c>
      <c r="G695">
        <v>16.25</v>
      </c>
      <c r="H695">
        <v>0</v>
      </c>
      <c r="I695">
        <v>0</v>
      </c>
      <c r="J695">
        <v>0</v>
      </c>
      <c r="K695">
        <v>0</v>
      </c>
      <c r="L695">
        <v>7</v>
      </c>
      <c r="O695">
        <v>7</v>
      </c>
      <c r="P695">
        <v>4</v>
      </c>
      <c r="Q695">
        <v>0</v>
      </c>
      <c r="R695">
        <v>27.25</v>
      </c>
      <c r="S695">
        <v>0</v>
      </c>
      <c r="T695">
        <v>0</v>
      </c>
      <c r="U695">
        <v>0</v>
      </c>
      <c r="V695">
        <v>0</v>
      </c>
      <c r="W695" t="s">
        <v>14</v>
      </c>
      <c r="X695">
        <v>27.25</v>
      </c>
    </row>
    <row r="696" spans="1:24" ht="15">
      <c r="A696">
        <v>689</v>
      </c>
      <c r="B696">
        <v>100650</v>
      </c>
      <c r="C696" t="s">
        <v>1859</v>
      </c>
      <c r="D696" t="s">
        <v>27</v>
      </c>
      <c r="E696" t="s">
        <v>80</v>
      </c>
      <c r="F696" t="str">
        <f>"00633383"</f>
        <v>00633383</v>
      </c>
      <c r="G696">
        <v>17.18</v>
      </c>
      <c r="H696">
        <v>0</v>
      </c>
      <c r="I696">
        <v>0</v>
      </c>
      <c r="J696">
        <v>0</v>
      </c>
      <c r="K696">
        <v>0</v>
      </c>
      <c r="O696">
        <v>0</v>
      </c>
      <c r="P696">
        <v>4</v>
      </c>
      <c r="Q696">
        <v>0</v>
      </c>
      <c r="R696">
        <v>21.18</v>
      </c>
      <c r="S696">
        <v>0</v>
      </c>
      <c r="T696">
        <v>0</v>
      </c>
      <c r="U696">
        <v>6</v>
      </c>
      <c r="V696">
        <v>0</v>
      </c>
      <c r="W696" t="s">
        <v>14</v>
      </c>
      <c r="X696">
        <v>27.18</v>
      </c>
    </row>
    <row r="697" spans="1:24" ht="15">
      <c r="A697">
        <v>690</v>
      </c>
      <c r="B697">
        <v>38088</v>
      </c>
      <c r="C697" t="s">
        <v>1861</v>
      </c>
      <c r="D697" t="s">
        <v>1862</v>
      </c>
      <c r="E697" t="s">
        <v>106</v>
      </c>
      <c r="F697" t="str">
        <f>"00172460"</f>
        <v>00172460</v>
      </c>
      <c r="G697">
        <v>16.18</v>
      </c>
      <c r="H697">
        <v>0</v>
      </c>
      <c r="I697">
        <v>0</v>
      </c>
      <c r="J697">
        <v>0</v>
      </c>
      <c r="K697">
        <v>0</v>
      </c>
      <c r="L697">
        <v>7</v>
      </c>
      <c r="O697">
        <v>7</v>
      </c>
      <c r="P697">
        <v>4</v>
      </c>
      <c r="Q697">
        <v>0</v>
      </c>
      <c r="R697">
        <v>27.18</v>
      </c>
      <c r="S697">
        <v>0</v>
      </c>
      <c r="T697">
        <v>0</v>
      </c>
      <c r="U697">
        <v>0</v>
      </c>
      <c r="V697">
        <v>0</v>
      </c>
      <c r="W697" t="s">
        <v>14</v>
      </c>
      <c r="X697">
        <v>27.18</v>
      </c>
    </row>
    <row r="698" spans="1:24" ht="15">
      <c r="A698">
        <v>691</v>
      </c>
      <c r="B698">
        <v>18708</v>
      </c>
      <c r="C698" t="s">
        <v>1864</v>
      </c>
      <c r="D698" t="s">
        <v>151</v>
      </c>
      <c r="E698" t="s">
        <v>12</v>
      </c>
      <c r="F698" t="str">
        <f>"201406008575"</f>
        <v>201406008575</v>
      </c>
      <c r="G698">
        <v>17.1</v>
      </c>
      <c r="H698">
        <v>0</v>
      </c>
      <c r="I698">
        <v>0</v>
      </c>
      <c r="J698">
        <v>0</v>
      </c>
      <c r="K698">
        <v>0</v>
      </c>
      <c r="N698">
        <v>3</v>
      </c>
      <c r="O698">
        <v>3</v>
      </c>
      <c r="P698">
        <v>4</v>
      </c>
      <c r="Q698">
        <v>0</v>
      </c>
      <c r="R698">
        <v>24.1</v>
      </c>
      <c r="S698">
        <v>3</v>
      </c>
      <c r="T698">
        <v>3</v>
      </c>
      <c r="U698">
        <v>0</v>
      </c>
      <c r="V698">
        <v>0</v>
      </c>
      <c r="W698" t="s">
        <v>14</v>
      </c>
      <c r="X698">
        <v>27.1</v>
      </c>
    </row>
    <row r="699" spans="1:24" ht="15">
      <c r="A699">
        <v>692</v>
      </c>
      <c r="B699">
        <v>96453</v>
      </c>
      <c r="C699" t="s">
        <v>1865</v>
      </c>
      <c r="D699" t="s">
        <v>12</v>
      </c>
      <c r="E699" t="s">
        <v>27</v>
      </c>
      <c r="F699" t="str">
        <f>"00649543"</f>
        <v>00649543</v>
      </c>
      <c r="G699">
        <v>17.05</v>
      </c>
      <c r="H699">
        <v>0</v>
      </c>
      <c r="I699">
        <v>0</v>
      </c>
      <c r="J699">
        <v>0</v>
      </c>
      <c r="K699">
        <v>0</v>
      </c>
      <c r="N699">
        <v>3</v>
      </c>
      <c r="O699">
        <v>3</v>
      </c>
      <c r="P699">
        <v>4</v>
      </c>
      <c r="Q699">
        <v>0</v>
      </c>
      <c r="R699">
        <v>24.05</v>
      </c>
      <c r="S699">
        <v>0</v>
      </c>
      <c r="T699">
        <v>0</v>
      </c>
      <c r="U699">
        <v>3</v>
      </c>
      <c r="V699">
        <v>0</v>
      </c>
      <c r="W699" t="s">
        <v>14</v>
      </c>
      <c r="X699">
        <v>27.05</v>
      </c>
    </row>
    <row r="700" spans="1:24" ht="15">
      <c r="A700">
        <v>693</v>
      </c>
      <c r="B700">
        <v>80057</v>
      </c>
      <c r="C700" t="s">
        <v>1866</v>
      </c>
      <c r="D700" t="s">
        <v>873</v>
      </c>
      <c r="E700" t="s">
        <v>21</v>
      </c>
      <c r="F700" t="str">
        <f>"00643128"</f>
        <v>00643128</v>
      </c>
      <c r="G700">
        <v>17</v>
      </c>
      <c r="H700">
        <v>0</v>
      </c>
      <c r="I700">
        <v>0</v>
      </c>
      <c r="J700">
        <v>0</v>
      </c>
      <c r="K700">
        <v>0</v>
      </c>
      <c r="O700">
        <v>0</v>
      </c>
      <c r="P700">
        <v>4</v>
      </c>
      <c r="Q700">
        <v>0</v>
      </c>
      <c r="R700">
        <v>21</v>
      </c>
      <c r="S700">
        <v>0</v>
      </c>
      <c r="T700">
        <v>0</v>
      </c>
      <c r="U700">
        <v>6</v>
      </c>
      <c r="V700">
        <v>0</v>
      </c>
      <c r="W700" t="s">
        <v>14</v>
      </c>
      <c r="X700">
        <v>27</v>
      </c>
    </row>
    <row r="701" spans="1:24" ht="15">
      <c r="A701">
        <v>694</v>
      </c>
      <c r="B701">
        <v>2851</v>
      </c>
      <c r="C701" t="s">
        <v>1851</v>
      </c>
      <c r="D701" t="s">
        <v>75</v>
      </c>
      <c r="E701" t="s">
        <v>80</v>
      </c>
      <c r="F701" t="str">
        <f>"00576917"</f>
        <v>00576917</v>
      </c>
      <c r="G701">
        <v>16.9</v>
      </c>
      <c r="H701">
        <v>0</v>
      </c>
      <c r="I701">
        <v>0</v>
      </c>
      <c r="J701">
        <v>0</v>
      </c>
      <c r="K701">
        <v>0</v>
      </c>
      <c r="N701">
        <v>3</v>
      </c>
      <c r="O701">
        <v>3</v>
      </c>
      <c r="P701">
        <v>4</v>
      </c>
      <c r="Q701">
        <v>0</v>
      </c>
      <c r="R701">
        <v>23.9</v>
      </c>
      <c r="S701">
        <v>0</v>
      </c>
      <c r="T701">
        <v>0</v>
      </c>
      <c r="U701">
        <v>3</v>
      </c>
      <c r="V701">
        <v>0</v>
      </c>
      <c r="W701" t="s">
        <v>14</v>
      </c>
      <c r="X701">
        <v>26.9</v>
      </c>
    </row>
    <row r="702" spans="1:24" ht="15">
      <c r="A702">
        <v>695</v>
      </c>
      <c r="B702">
        <v>78836</v>
      </c>
      <c r="C702" t="s">
        <v>1868</v>
      </c>
      <c r="D702" t="s">
        <v>1869</v>
      </c>
      <c r="E702" t="s">
        <v>23</v>
      </c>
      <c r="F702" t="str">
        <f>"201406004812"</f>
        <v>201406004812</v>
      </c>
      <c r="G702">
        <v>16.9</v>
      </c>
      <c r="H702">
        <v>0</v>
      </c>
      <c r="I702">
        <v>0</v>
      </c>
      <c r="J702">
        <v>0</v>
      </c>
      <c r="K702">
        <v>0</v>
      </c>
      <c r="N702">
        <v>3</v>
      </c>
      <c r="O702">
        <v>3</v>
      </c>
      <c r="P702">
        <v>4</v>
      </c>
      <c r="Q702">
        <v>0</v>
      </c>
      <c r="R702">
        <v>23.9</v>
      </c>
      <c r="S702">
        <v>0</v>
      </c>
      <c r="T702">
        <v>0</v>
      </c>
      <c r="U702">
        <v>3</v>
      </c>
      <c r="V702">
        <v>0</v>
      </c>
      <c r="W702" t="s">
        <v>14</v>
      </c>
      <c r="X702">
        <v>26.9</v>
      </c>
    </row>
    <row r="703" spans="1:24" ht="15">
      <c r="A703">
        <v>696</v>
      </c>
      <c r="B703">
        <v>96849</v>
      </c>
      <c r="C703" t="s">
        <v>1870</v>
      </c>
      <c r="D703" t="s">
        <v>27</v>
      </c>
      <c r="E703" t="s">
        <v>215</v>
      </c>
      <c r="F703" t="str">
        <f>"00626038"</f>
        <v>00626038</v>
      </c>
      <c r="G703">
        <v>19.9</v>
      </c>
      <c r="H703">
        <v>0</v>
      </c>
      <c r="I703">
        <v>0</v>
      </c>
      <c r="J703">
        <v>0</v>
      </c>
      <c r="K703">
        <v>0</v>
      </c>
      <c r="L703">
        <v>7</v>
      </c>
      <c r="O703">
        <v>7</v>
      </c>
      <c r="P703">
        <v>0</v>
      </c>
      <c r="Q703">
        <v>0</v>
      </c>
      <c r="R703">
        <v>26.9</v>
      </c>
      <c r="S703">
        <v>0</v>
      </c>
      <c r="T703">
        <v>0</v>
      </c>
      <c r="U703">
        <v>0</v>
      </c>
      <c r="V703">
        <v>0</v>
      </c>
      <c r="W703" t="s">
        <v>14</v>
      </c>
      <c r="X703">
        <v>26.9</v>
      </c>
    </row>
    <row r="704" spans="1:24" ht="15">
      <c r="A704">
        <v>697</v>
      </c>
      <c r="B704">
        <v>45387</v>
      </c>
      <c r="C704" t="s">
        <v>1871</v>
      </c>
      <c r="D704" t="s">
        <v>120</v>
      </c>
      <c r="E704" t="s">
        <v>27</v>
      </c>
      <c r="F704" t="str">
        <f>"00615394"</f>
        <v>00615394</v>
      </c>
      <c r="G704">
        <v>19.88</v>
      </c>
      <c r="H704">
        <v>0</v>
      </c>
      <c r="I704">
        <v>0</v>
      </c>
      <c r="J704">
        <v>0</v>
      </c>
      <c r="K704">
        <v>0</v>
      </c>
      <c r="N704">
        <v>3</v>
      </c>
      <c r="O704">
        <v>3</v>
      </c>
      <c r="P704">
        <v>4</v>
      </c>
      <c r="Q704">
        <v>0</v>
      </c>
      <c r="R704">
        <v>26.88</v>
      </c>
      <c r="S704">
        <v>0</v>
      </c>
      <c r="T704">
        <v>0</v>
      </c>
      <c r="U704">
        <v>0</v>
      </c>
      <c r="V704">
        <v>0</v>
      </c>
      <c r="W704" t="s">
        <v>14</v>
      </c>
      <c r="X704">
        <v>26.88</v>
      </c>
    </row>
    <row r="705" spans="1:24" ht="15">
      <c r="A705">
        <v>698</v>
      </c>
      <c r="B705">
        <v>40792</v>
      </c>
      <c r="C705" t="s">
        <v>1872</v>
      </c>
      <c r="D705" t="s">
        <v>928</v>
      </c>
      <c r="E705" t="s">
        <v>587</v>
      </c>
      <c r="F705" t="str">
        <f>"201406008582"</f>
        <v>201406008582</v>
      </c>
      <c r="G705">
        <v>16.85</v>
      </c>
      <c r="H705">
        <v>0</v>
      </c>
      <c r="I705">
        <v>0</v>
      </c>
      <c r="J705">
        <v>0</v>
      </c>
      <c r="K705">
        <v>0</v>
      </c>
      <c r="N705">
        <v>3</v>
      </c>
      <c r="O705">
        <v>3</v>
      </c>
      <c r="P705">
        <v>4</v>
      </c>
      <c r="Q705">
        <v>0</v>
      </c>
      <c r="R705">
        <v>23.85</v>
      </c>
      <c r="S705">
        <v>0</v>
      </c>
      <c r="T705">
        <v>0</v>
      </c>
      <c r="U705">
        <v>3</v>
      </c>
      <c r="V705">
        <v>0</v>
      </c>
      <c r="W705" t="s">
        <v>14</v>
      </c>
      <c r="X705">
        <v>26.85</v>
      </c>
    </row>
    <row r="706" spans="1:24" ht="15">
      <c r="A706">
        <v>699</v>
      </c>
      <c r="B706">
        <v>106030</v>
      </c>
      <c r="C706" t="s">
        <v>1873</v>
      </c>
      <c r="D706" t="s">
        <v>124</v>
      </c>
      <c r="E706" t="s">
        <v>73</v>
      </c>
      <c r="F706" t="str">
        <f>"00369849"</f>
        <v>00369849</v>
      </c>
      <c r="G706">
        <v>17.85</v>
      </c>
      <c r="H706">
        <v>0</v>
      </c>
      <c r="I706">
        <v>0</v>
      </c>
      <c r="J706">
        <v>0</v>
      </c>
      <c r="K706">
        <v>0</v>
      </c>
      <c r="M706">
        <v>5</v>
      </c>
      <c r="O706">
        <v>5</v>
      </c>
      <c r="P706">
        <v>4</v>
      </c>
      <c r="Q706">
        <v>0</v>
      </c>
      <c r="R706">
        <v>26.85</v>
      </c>
      <c r="S706">
        <v>0</v>
      </c>
      <c r="T706">
        <v>0</v>
      </c>
      <c r="U706">
        <v>0</v>
      </c>
      <c r="V706">
        <v>0</v>
      </c>
      <c r="W706" t="s">
        <v>14</v>
      </c>
      <c r="X706">
        <v>26.85</v>
      </c>
    </row>
    <row r="707" spans="1:24" ht="15">
      <c r="A707">
        <v>700</v>
      </c>
      <c r="B707">
        <v>75972</v>
      </c>
      <c r="C707" t="s">
        <v>1874</v>
      </c>
      <c r="D707" t="s">
        <v>50</v>
      </c>
      <c r="E707" t="s">
        <v>12</v>
      </c>
      <c r="F707" t="str">
        <f>"00293248"</f>
        <v>00293248</v>
      </c>
      <c r="G707">
        <v>19.8</v>
      </c>
      <c r="H707">
        <v>0</v>
      </c>
      <c r="I707">
        <v>0</v>
      </c>
      <c r="J707">
        <v>0</v>
      </c>
      <c r="K707">
        <v>0</v>
      </c>
      <c r="N707">
        <v>3</v>
      </c>
      <c r="O707">
        <v>3</v>
      </c>
      <c r="P707">
        <v>4</v>
      </c>
      <c r="Q707">
        <v>0</v>
      </c>
      <c r="R707">
        <v>26.8</v>
      </c>
      <c r="S707">
        <v>0</v>
      </c>
      <c r="T707">
        <v>0</v>
      </c>
      <c r="U707">
        <v>0</v>
      </c>
      <c r="V707">
        <v>0</v>
      </c>
      <c r="W707" t="s">
        <v>14</v>
      </c>
      <c r="X707">
        <v>26.8</v>
      </c>
    </row>
    <row r="708" spans="1:24" ht="15">
      <c r="A708">
        <v>701</v>
      </c>
      <c r="B708">
        <v>94293</v>
      </c>
      <c r="C708" t="s">
        <v>828</v>
      </c>
      <c r="D708" t="s">
        <v>236</v>
      </c>
      <c r="E708" t="s">
        <v>27</v>
      </c>
      <c r="F708" t="str">
        <f>"00541351"</f>
        <v>00541351</v>
      </c>
      <c r="G708">
        <v>19.75</v>
      </c>
      <c r="H708">
        <v>0</v>
      </c>
      <c r="I708">
        <v>0</v>
      </c>
      <c r="J708">
        <v>0</v>
      </c>
      <c r="K708">
        <v>0</v>
      </c>
      <c r="N708">
        <v>3</v>
      </c>
      <c r="O708">
        <v>3</v>
      </c>
      <c r="P708">
        <v>4</v>
      </c>
      <c r="Q708">
        <v>0</v>
      </c>
      <c r="R708">
        <v>26.75</v>
      </c>
      <c r="S708">
        <v>0</v>
      </c>
      <c r="T708">
        <v>0</v>
      </c>
      <c r="U708">
        <v>0</v>
      </c>
      <c r="V708">
        <v>0</v>
      </c>
      <c r="W708" t="s">
        <v>14</v>
      </c>
      <c r="X708">
        <v>26.75</v>
      </c>
    </row>
    <row r="709" spans="1:24" ht="15">
      <c r="A709">
        <v>702</v>
      </c>
      <c r="B709">
        <v>62344</v>
      </c>
      <c r="C709" t="s">
        <v>1876</v>
      </c>
      <c r="D709" t="s">
        <v>20</v>
      </c>
      <c r="E709" t="s">
        <v>254</v>
      </c>
      <c r="F709" t="str">
        <f>"00145388"</f>
        <v>00145388</v>
      </c>
      <c r="G709">
        <v>14.75</v>
      </c>
      <c r="H709">
        <v>0</v>
      </c>
      <c r="I709">
        <v>0</v>
      </c>
      <c r="J709">
        <v>0</v>
      </c>
      <c r="K709">
        <v>0</v>
      </c>
      <c r="N709">
        <v>3</v>
      </c>
      <c r="O709">
        <v>3</v>
      </c>
      <c r="P709">
        <v>4</v>
      </c>
      <c r="Q709">
        <v>2</v>
      </c>
      <c r="R709">
        <v>23.75</v>
      </c>
      <c r="S709">
        <v>3</v>
      </c>
      <c r="T709">
        <v>3</v>
      </c>
      <c r="U709">
        <v>0</v>
      </c>
      <c r="V709">
        <v>0</v>
      </c>
      <c r="W709" t="s">
        <v>14</v>
      </c>
      <c r="X709">
        <v>26.75</v>
      </c>
    </row>
    <row r="710" spans="1:24" ht="15">
      <c r="A710">
        <v>703</v>
      </c>
      <c r="B710">
        <v>111366</v>
      </c>
      <c r="C710" t="s">
        <v>1877</v>
      </c>
      <c r="D710" t="s">
        <v>16</v>
      </c>
      <c r="E710" t="s">
        <v>288</v>
      </c>
      <c r="F710" t="str">
        <f>"00436369"</f>
        <v>00436369</v>
      </c>
      <c r="G710">
        <v>19.73</v>
      </c>
      <c r="H710">
        <v>0</v>
      </c>
      <c r="I710">
        <v>0</v>
      </c>
      <c r="J710">
        <v>0</v>
      </c>
      <c r="K710">
        <v>0</v>
      </c>
      <c r="N710">
        <v>3</v>
      </c>
      <c r="O710">
        <v>3</v>
      </c>
      <c r="P710">
        <v>4</v>
      </c>
      <c r="Q710">
        <v>0</v>
      </c>
      <c r="R710">
        <v>26.73</v>
      </c>
      <c r="S710">
        <v>0</v>
      </c>
      <c r="T710">
        <v>0</v>
      </c>
      <c r="U710">
        <v>0</v>
      </c>
      <c r="V710">
        <v>0</v>
      </c>
      <c r="W710" t="s">
        <v>14</v>
      </c>
      <c r="X710">
        <v>26.73</v>
      </c>
    </row>
    <row r="711" spans="1:24" ht="15">
      <c r="A711">
        <v>704</v>
      </c>
      <c r="B711">
        <v>71082</v>
      </c>
      <c r="C711" t="s">
        <v>1878</v>
      </c>
      <c r="D711" t="s">
        <v>16</v>
      </c>
      <c r="E711" t="s">
        <v>12</v>
      </c>
      <c r="F711" t="str">
        <f>"00608105"</f>
        <v>00608105</v>
      </c>
      <c r="G711">
        <v>16.73</v>
      </c>
      <c r="H711">
        <v>0</v>
      </c>
      <c r="I711">
        <v>0</v>
      </c>
      <c r="J711">
        <v>0</v>
      </c>
      <c r="K711">
        <v>0</v>
      </c>
      <c r="N711">
        <v>6</v>
      </c>
      <c r="O711">
        <v>6</v>
      </c>
      <c r="P711">
        <v>4</v>
      </c>
      <c r="Q711">
        <v>0</v>
      </c>
      <c r="R711">
        <v>26.73</v>
      </c>
      <c r="S711">
        <v>0</v>
      </c>
      <c r="T711">
        <v>0</v>
      </c>
      <c r="U711">
        <v>0</v>
      </c>
      <c r="V711">
        <v>0</v>
      </c>
      <c r="W711" t="s">
        <v>14</v>
      </c>
      <c r="X711">
        <v>26.73</v>
      </c>
    </row>
    <row r="712" spans="1:24" ht="15">
      <c r="A712">
        <v>705</v>
      </c>
      <c r="B712">
        <v>106674</v>
      </c>
      <c r="C712" t="s">
        <v>1879</v>
      </c>
      <c r="D712" t="s">
        <v>333</v>
      </c>
      <c r="E712" t="s">
        <v>1880</v>
      </c>
      <c r="F712" t="str">
        <f>"00625126"</f>
        <v>00625126</v>
      </c>
      <c r="G712">
        <v>16.68</v>
      </c>
      <c r="H712">
        <v>0</v>
      </c>
      <c r="I712">
        <v>0</v>
      </c>
      <c r="J712">
        <v>0</v>
      </c>
      <c r="K712">
        <v>0</v>
      </c>
      <c r="N712">
        <v>3</v>
      </c>
      <c r="O712">
        <v>3</v>
      </c>
      <c r="P712">
        <v>4</v>
      </c>
      <c r="Q712">
        <v>0</v>
      </c>
      <c r="R712">
        <v>23.68</v>
      </c>
      <c r="S712">
        <v>0</v>
      </c>
      <c r="T712">
        <v>0</v>
      </c>
      <c r="U712">
        <v>3</v>
      </c>
      <c r="V712">
        <v>0</v>
      </c>
      <c r="W712" t="s">
        <v>14</v>
      </c>
      <c r="X712">
        <v>26.68</v>
      </c>
    </row>
    <row r="713" spans="1:24" ht="15">
      <c r="A713">
        <v>706</v>
      </c>
      <c r="B713">
        <v>35631</v>
      </c>
      <c r="C713" t="s">
        <v>1883</v>
      </c>
      <c r="D713" t="s">
        <v>29</v>
      </c>
      <c r="E713" t="s">
        <v>30</v>
      </c>
      <c r="F713" t="str">
        <f>"00182378"</f>
        <v>00182378</v>
      </c>
      <c r="G713">
        <v>16.55</v>
      </c>
      <c r="H713">
        <v>0</v>
      </c>
      <c r="I713">
        <v>0</v>
      </c>
      <c r="J713">
        <v>0</v>
      </c>
      <c r="K713">
        <v>0</v>
      </c>
      <c r="N713">
        <v>3</v>
      </c>
      <c r="O713">
        <v>3</v>
      </c>
      <c r="P713">
        <v>4</v>
      </c>
      <c r="Q713">
        <v>0</v>
      </c>
      <c r="R713">
        <v>23.55</v>
      </c>
      <c r="S713">
        <v>0</v>
      </c>
      <c r="T713">
        <v>0</v>
      </c>
      <c r="U713">
        <v>3</v>
      </c>
      <c r="V713">
        <v>0</v>
      </c>
      <c r="W713" t="s">
        <v>14</v>
      </c>
      <c r="X713">
        <v>26.55</v>
      </c>
    </row>
    <row r="714" spans="1:24" ht="15">
      <c r="A714">
        <v>707</v>
      </c>
      <c r="B714">
        <v>41190</v>
      </c>
      <c r="C714" t="s">
        <v>1884</v>
      </c>
      <c r="D714" t="s">
        <v>316</v>
      </c>
      <c r="E714" t="s">
        <v>113</v>
      </c>
      <c r="F714" t="str">
        <f>"00110772"</f>
        <v>00110772</v>
      </c>
      <c r="G714">
        <v>16.5</v>
      </c>
      <c r="H714">
        <v>0</v>
      </c>
      <c r="I714">
        <v>0</v>
      </c>
      <c r="J714">
        <v>0</v>
      </c>
      <c r="K714">
        <v>0</v>
      </c>
      <c r="N714">
        <v>3</v>
      </c>
      <c r="O714">
        <v>3</v>
      </c>
      <c r="P714">
        <v>4</v>
      </c>
      <c r="Q714">
        <v>0</v>
      </c>
      <c r="R714">
        <v>23.5</v>
      </c>
      <c r="S714">
        <v>0</v>
      </c>
      <c r="T714">
        <v>0</v>
      </c>
      <c r="U714">
        <v>3</v>
      </c>
      <c r="V714">
        <v>0</v>
      </c>
      <c r="W714" t="s">
        <v>14</v>
      </c>
      <c r="X714">
        <v>26.5</v>
      </c>
    </row>
    <row r="715" spans="1:24" ht="15">
      <c r="A715">
        <v>708</v>
      </c>
      <c r="B715">
        <v>85218</v>
      </c>
      <c r="C715" t="s">
        <v>1887</v>
      </c>
      <c r="D715" t="s">
        <v>281</v>
      </c>
      <c r="E715" t="s">
        <v>124</v>
      </c>
      <c r="F715" t="str">
        <f>"00610804"</f>
        <v>00610804</v>
      </c>
      <c r="G715">
        <v>19.48</v>
      </c>
      <c r="H715">
        <v>0</v>
      </c>
      <c r="I715">
        <v>0</v>
      </c>
      <c r="J715">
        <v>0</v>
      </c>
      <c r="K715">
        <v>0</v>
      </c>
      <c r="L715">
        <v>7</v>
      </c>
      <c r="O715">
        <v>7</v>
      </c>
      <c r="P715">
        <v>0</v>
      </c>
      <c r="Q715">
        <v>0</v>
      </c>
      <c r="R715">
        <v>26.48</v>
      </c>
      <c r="S715">
        <v>0</v>
      </c>
      <c r="T715">
        <v>0</v>
      </c>
      <c r="U715">
        <v>0</v>
      </c>
      <c r="V715">
        <v>0</v>
      </c>
      <c r="W715" t="s">
        <v>14</v>
      </c>
      <c r="X715">
        <v>26.48</v>
      </c>
    </row>
    <row r="716" spans="1:24" ht="15">
      <c r="A716">
        <v>709</v>
      </c>
      <c r="B716">
        <v>29219</v>
      </c>
      <c r="C716" t="s">
        <v>1892</v>
      </c>
      <c r="D716" t="s">
        <v>1893</v>
      </c>
      <c r="E716" t="s">
        <v>135</v>
      </c>
      <c r="F716" t="str">
        <f>"00601846"</f>
        <v>00601846</v>
      </c>
      <c r="G716">
        <v>19.43</v>
      </c>
      <c r="H716">
        <v>0</v>
      </c>
      <c r="I716">
        <v>0</v>
      </c>
      <c r="J716">
        <v>0</v>
      </c>
      <c r="K716">
        <v>0</v>
      </c>
      <c r="N716">
        <v>3</v>
      </c>
      <c r="O716">
        <v>3</v>
      </c>
      <c r="P716">
        <v>4</v>
      </c>
      <c r="Q716">
        <v>0</v>
      </c>
      <c r="R716">
        <v>26.43</v>
      </c>
      <c r="S716">
        <v>0</v>
      </c>
      <c r="T716">
        <v>0</v>
      </c>
      <c r="U716">
        <v>0</v>
      </c>
      <c r="V716">
        <v>0</v>
      </c>
      <c r="W716" t="s">
        <v>14</v>
      </c>
      <c r="X716">
        <v>26.43</v>
      </c>
    </row>
    <row r="717" spans="1:24" ht="15">
      <c r="A717">
        <v>710</v>
      </c>
      <c r="B717">
        <v>80783</v>
      </c>
      <c r="C717" t="s">
        <v>1894</v>
      </c>
      <c r="D717" t="s">
        <v>1895</v>
      </c>
      <c r="E717" t="s">
        <v>1141</v>
      </c>
      <c r="F717" t="str">
        <f>"00522412"</f>
        <v>00522412</v>
      </c>
      <c r="G717">
        <v>17.43</v>
      </c>
      <c r="H717">
        <v>0</v>
      </c>
      <c r="I717">
        <v>0</v>
      </c>
      <c r="J717">
        <v>0</v>
      </c>
      <c r="K717">
        <v>0</v>
      </c>
      <c r="N717">
        <v>3</v>
      </c>
      <c r="O717">
        <v>3</v>
      </c>
      <c r="P717">
        <v>4</v>
      </c>
      <c r="Q717">
        <v>2</v>
      </c>
      <c r="R717">
        <v>26.43</v>
      </c>
      <c r="S717">
        <v>0</v>
      </c>
      <c r="T717">
        <v>0</v>
      </c>
      <c r="U717">
        <v>0</v>
      </c>
      <c r="V717">
        <v>0</v>
      </c>
      <c r="W717" t="s">
        <v>14</v>
      </c>
      <c r="X717">
        <v>26.43</v>
      </c>
    </row>
    <row r="718" spans="1:24" ht="15">
      <c r="A718">
        <v>711</v>
      </c>
      <c r="B718">
        <v>19499</v>
      </c>
      <c r="C718" t="s">
        <v>242</v>
      </c>
      <c r="D718" t="s">
        <v>188</v>
      </c>
      <c r="E718" t="s">
        <v>288</v>
      </c>
      <c r="F718" t="str">
        <f>"00141110"</f>
        <v>00141110</v>
      </c>
      <c r="G718">
        <v>19.35</v>
      </c>
      <c r="H718">
        <v>0</v>
      </c>
      <c r="I718">
        <v>0</v>
      </c>
      <c r="J718">
        <v>0</v>
      </c>
      <c r="K718">
        <v>0</v>
      </c>
      <c r="N718">
        <v>3</v>
      </c>
      <c r="O718">
        <v>3</v>
      </c>
      <c r="P718">
        <v>4</v>
      </c>
      <c r="Q718">
        <v>0</v>
      </c>
      <c r="R718">
        <v>26.35</v>
      </c>
      <c r="S718">
        <v>0</v>
      </c>
      <c r="T718">
        <v>0</v>
      </c>
      <c r="U718">
        <v>0</v>
      </c>
      <c r="V718">
        <v>0</v>
      </c>
      <c r="W718" t="s">
        <v>14</v>
      </c>
      <c r="X718">
        <v>26.35</v>
      </c>
    </row>
    <row r="719" spans="1:24" ht="15">
      <c r="A719">
        <v>712</v>
      </c>
      <c r="B719">
        <v>76394</v>
      </c>
      <c r="C719" t="s">
        <v>1897</v>
      </c>
      <c r="D719" t="s">
        <v>186</v>
      </c>
      <c r="E719" t="s">
        <v>23</v>
      </c>
      <c r="F719" t="str">
        <f>"00649959"</f>
        <v>00649959</v>
      </c>
      <c r="G719">
        <v>16.28</v>
      </c>
      <c r="H719">
        <v>0</v>
      </c>
      <c r="I719">
        <v>0</v>
      </c>
      <c r="J719">
        <v>0</v>
      </c>
      <c r="K719">
        <v>0</v>
      </c>
      <c r="O719">
        <v>0</v>
      </c>
      <c r="P719">
        <v>4</v>
      </c>
      <c r="Q719">
        <v>0</v>
      </c>
      <c r="R719">
        <v>20.28</v>
      </c>
      <c r="S719">
        <v>0</v>
      </c>
      <c r="T719">
        <v>0</v>
      </c>
      <c r="U719">
        <v>6</v>
      </c>
      <c r="V719">
        <v>0</v>
      </c>
      <c r="W719" t="s">
        <v>14</v>
      </c>
      <c r="X719">
        <v>26.28</v>
      </c>
    </row>
    <row r="720" spans="1:24" ht="15">
      <c r="A720">
        <v>713</v>
      </c>
      <c r="B720">
        <v>57217</v>
      </c>
      <c r="C720" t="s">
        <v>1898</v>
      </c>
      <c r="D720" t="s">
        <v>21</v>
      </c>
      <c r="E720" t="s">
        <v>27</v>
      </c>
      <c r="F720" t="str">
        <f>"00433837"</f>
        <v>00433837</v>
      </c>
      <c r="G720">
        <v>16.28</v>
      </c>
      <c r="H720">
        <v>0</v>
      </c>
      <c r="I720">
        <v>0</v>
      </c>
      <c r="J720">
        <v>0</v>
      </c>
      <c r="K720">
        <v>0</v>
      </c>
      <c r="O720">
        <v>0</v>
      </c>
      <c r="P720">
        <v>4</v>
      </c>
      <c r="Q720">
        <v>0</v>
      </c>
      <c r="R720">
        <v>20.28</v>
      </c>
      <c r="S720">
        <v>0</v>
      </c>
      <c r="T720">
        <v>0</v>
      </c>
      <c r="U720">
        <v>6</v>
      </c>
      <c r="V720">
        <v>0</v>
      </c>
      <c r="W720" t="s">
        <v>14</v>
      </c>
      <c r="X720">
        <v>26.28</v>
      </c>
    </row>
    <row r="721" spans="1:24" ht="15">
      <c r="A721">
        <v>714</v>
      </c>
      <c r="B721">
        <v>22807</v>
      </c>
      <c r="C721" t="s">
        <v>1899</v>
      </c>
      <c r="D721" t="s">
        <v>138</v>
      </c>
      <c r="E721" t="s">
        <v>23</v>
      </c>
      <c r="F721" t="str">
        <f>"201604004843"</f>
        <v>201604004843</v>
      </c>
      <c r="G721">
        <v>16.28</v>
      </c>
      <c r="H721">
        <v>0</v>
      </c>
      <c r="I721">
        <v>0</v>
      </c>
      <c r="J721">
        <v>0</v>
      </c>
      <c r="K721">
        <v>0</v>
      </c>
      <c r="N721">
        <v>3</v>
      </c>
      <c r="O721">
        <v>3</v>
      </c>
      <c r="P721">
        <v>4</v>
      </c>
      <c r="Q721">
        <v>0</v>
      </c>
      <c r="R721">
        <v>23.28</v>
      </c>
      <c r="S721">
        <v>0</v>
      </c>
      <c r="T721">
        <v>0</v>
      </c>
      <c r="U721">
        <v>3</v>
      </c>
      <c r="V721">
        <v>0</v>
      </c>
      <c r="W721" t="s">
        <v>14</v>
      </c>
      <c r="X721">
        <v>26.28</v>
      </c>
    </row>
    <row r="722" spans="1:24" ht="15">
      <c r="A722">
        <v>715</v>
      </c>
      <c r="B722">
        <v>35951</v>
      </c>
      <c r="C722" t="s">
        <v>1906</v>
      </c>
      <c r="D722" t="s">
        <v>1410</v>
      </c>
      <c r="E722" t="s">
        <v>1907</v>
      </c>
      <c r="F722" t="str">
        <f>"00334868"</f>
        <v>00334868</v>
      </c>
      <c r="G722">
        <v>16.18</v>
      </c>
      <c r="H722">
        <v>0</v>
      </c>
      <c r="I722">
        <v>0</v>
      </c>
      <c r="J722">
        <v>0</v>
      </c>
      <c r="K722">
        <v>0</v>
      </c>
      <c r="N722">
        <v>6</v>
      </c>
      <c r="O722">
        <v>6</v>
      </c>
      <c r="P722">
        <v>4</v>
      </c>
      <c r="Q722">
        <v>0</v>
      </c>
      <c r="R722">
        <v>26.18</v>
      </c>
      <c r="S722">
        <v>0</v>
      </c>
      <c r="T722">
        <v>0</v>
      </c>
      <c r="U722">
        <v>0</v>
      </c>
      <c r="V722">
        <v>0</v>
      </c>
      <c r="W722" t="s">
        <v>14</v>
      </c>
      <c r="X722">
        <v>26.18</v>
      </c>
    </row>
    <row r="723" spans="1:24" ht="15">
      <c r="A723">
        <v>716</v>
      </c>
      <c r="B723">
        <v>114991</v>
      </c>
      <c r="C723" t="s">
        <v>1908</v>
      </c>
      <c r="D723" t="s">
        <v>111</v>
      </c>
      <c r="E723" t="s">
        <v>177</v>
      </c>
      <c r="F723" t="str">
        <f>"00527684"</f>
        <v>00527684</v>
      </c>
      <c r="G723">
        <v>16.15</v>
      </c>
      <c r="H723">
        <v>0</v>
      </c>
      <c r="I723">
        <v>0</v>
      </c>
      <c r="J723">
        <v>0</v>
      </c>
      <c r="K723">
        <v>0</v>
      </c>
      <c r="N723">
        <v>3</v>
      </c>
      <c r="O723">
        <v>3</v>
      </c>
      <c r="P723">
        <v>4</v>
      </c>
      <c r="Q723">
        <v>2</v>
      </c>
      <c r="R723">
        <v>25.15</v>
      </c>
      <c r="S723">
        <v>1</v>
      </c>
      <c r="T723">
        <v>1</v>
      </c>
      <c r="U723">
        <v>0</v>
      </c>
      <c r="V723">
        <v>0</v>
      </c>
      <c r="W723" t="s">
        <v>14</v>
      </c>
      <c r="X723">
        <v>26.15</v>
      </c>
    </row>
    <row r="724" spans="1:24" ht="15">
      <c r="A724">
        <v>717</v>
      </c>
      <c r="B724">
        <v>59119</v>
      </c>
      <c r="C724" t="s">
        <v>96</v>
      </c>
      <c r="D724" t="s">
        <v>1909</v>
      </c>
      <c r="E724" t="s">
        <v>1910</v>
      </c>
      <c r="F724" t="str">
        <f>"00006031"</f>
        <v>00006031</v>
      </c>
      <c r="G724">
        <v>17.13</v>
      </c>
      <c r="H724">
        <v>0</v>
      </c>
      <c r="I724">
        <v>0</v>
      </c>
      <c r="J724">
        <v>0</v>
      </c>
      <c r="K724">
        <v>0</v>
      </c>
      <c r="N724">
        <v>3</v>
      </c>
      <c r="O724">
        <v>3</v>
      </c>
      <c r="P724">
        <v>4</v>
      </c>
      <c r="Q724">
        <v>2</v>
      </c>
      <c r="R724">
        <v>26.13</v>
      </c>
      <c r="S724">
        <v>0</v>
      </c>
      <c r="T724">
        <v>0</v>
      </c>
      <c r="U724">
        <v>0</v>
      </c>
      <c r="V724">
        <v>0</v>
      </c>
      <c r="W724" t="s">
        <v>14</v>
      </c>
      <c r="X724">
        <v>26.13</v>
      </c>
    </row>
    <row r="725" spans="1:24" ht="15">
      <c r="A725">
        <v>718</v>
      </c>
      <c r="B725">
        <v>19607</v>
      </c>
      <c r="C725" t="s">
        <v>1911</v>
      </c>
      <c r="D725" t="s">
        <v>1766</v>
      </c>
      <c r="E725" t="s">
        <v>17</v>
      </c>
      <c r="F725" t="str">
        <f>"00603805"</f>
        <v>00603805</v>
      </c>
      <c r="G725">
        <v>16.1</v>
      </c>
      <c r="H725">
        <v>0</v>
      </c>
      <c r="I725">
        <v>0</v>
      </c>
      <c r="J725">
        <v>0</v>
      </c>
      <c r="K725">
        <v>0</v>
      </c>
      <c r="N725">
        <v>3</v>
      </c>
      <c r="O725">
        <v>3</v>
      </c>
      <c r="P725">
        <v>4</v>
      </c>
      <c r="Q725">
        <v>0</v>
      </c>
      <c r="R725">
        <v>23.1</v>
      </c>
      <c r="S725">
        <v>0</v>
      </c>
      <c r="T725">
        <v>0</v>
      </c>
      <c r="U725">
        <v>3</v>
      </c>
      <c r="V725">
        <v>0</v>
      </c>
      <c r="W725" t="s">
        <v>14</v>
      </c>
      <c r="X725">
        <v>26.1</v>
      </c>
    </row>
    <row r="726" spans="1:24" ht="15">
      <c r="A726">
        <v>719</v>
      </c>
      <c r="B726">
        <v>72566</v>
      </c>
      <c r="C726" t="s">
        <v>1913</v>
      </c>
      <c r="D726" t="s">
        <v>558</v>
      </c>
      <c r="E726" t="s">
        <v>76</v>
      </c>
      <c r="F726" t="str">
        <f>"00301401"</f>
        <v>00301401</v>
      </c>
      <c r="G726">
        <v>19.08</v>
      </c>
      <c r="H726">
        <v>0</v>
      </c>
      <c r="I726">
        <v>0</v>
      </c>
      <c r="J726">
        <v>0</v>
      </c>
      <c r="K726">
        <v>0</v>
      </c>
      <c r="O726">
        <v>0</v>
      </c>
      <c r="P726">
        <v>4</v>
      </c>
      <c r="Q726">
        <v>0</v>
      </c>
      <c r="R726">
        <v>23.08</v>
      </c>
      <c r="S726">
        <v>0</v>
      </c>
      <c r="T726">
        <v>0</v>
      </c>
      <c r="U726">
        <v>3</v>
      </c>
      <c r="V726">
        <v>0</v>
      </c>
      <c r="W726" t="s">
        <v>14</v>
      </c>
      <c r="X726">
        <v>26.08</v>
      </c>
    </row>
    <row r="727" spans="1:24" ht="15">
      <c r="A727">
        <v>720</v>
      </c>
      <c r="B727">
        <v>21898</v>
      </c>
      <c r="C727" t="s">
        <v>1914</v>
      </c>
      <c r="D727" t="s">
        <v>1915</v>
      </c>
      <c r="E727" t="s">
        <v>288</v>
      </c>
      <c r="F727" t="str">
        <f>"00010631"</f>
        <v>00010631</v>
      </c>
      <c r="G727">
        <v>15.08</v>
      </c>
      <c r="H727">
        <v>0</v>
      </c>
      <c r="I727">
        <v>0</v>
      </c>
      <c r="J727">
        <v>0</v>
      </c>
      <c r="K727">
        <v>0</v>
      </c>
      <c r="M727">
        <v>5</v>
      </c>
      <c r="O727">
        <v>5</v>
      </c>
      <c r="P727">
        <v>4</v>
      </c>
      <c r="Q727">
        <v>2</v>
      </c>
      <c r="R727">
        <v>26.08</v>
      </c>
      <c r="S727">
        <v>0</v>
      </c>
      <c r="T727">
        <v>0</v>
      </c>
      <c r="U727">
        <v>0</v>
      </c>
      <c r="V727">
        <v>0</v>
      </c>
      <c r="W727" t="s">
        <v>14</v>
      </c>
      <c r="X727">
        <v>26.08</v>
      </c>
    </row>
    <row r="728" spans="1:24" ht="15">
      <c r="A728">
        <v>721</v>
      </c>
      <c r="B728">
        <v>77134</v>
      </c>
      <c r="C728" t="s">
        <v>765</v>
      </c>
      <c r="D728" t="s">
        <v>30</v>
      </c>
      <c r="E728" t="s">
        <v>27</v>
      </c>
      <c r="F728" t="str">
        <f>"00323468"</f>
        <v>00323468</v>
      </c>
      <c r="G728">
        <v>16.05</v>
      </c>
      <c r="H728">
        <v>0</v>
      </c>
      <c r="I728">
        <v>0</v>
      </c>
      <c r="J728">
        <v>0</v>
      </c>
      <c r="K728">
        <v>0</v>
      </c>
      <c r="N728">
        <v>6</v>
      </c>
      <c r="O728">
        <v>6</v>
      </c>
      <c r="P728">
        <v>4</v>
      </c>
      <c r="Q728">
        <v>0</v>
      </c>
      <c r="R728">
        <v>26.05</v>
      </c>
      <c r="S728">
        <v>0</v>
      </c>
      <c r="T728">
        <v>0</v>
      </c>
      <c r="U728">
        <v>0</v>
      </c>
      <c r="V728">
        <v>0</v>
      </c>
      <c r="W728" t="s">
        <v>14</v>
      </c>
      <c r="X728">
        <v>26.05</v>
      </c>
    </row>
    <row r="729" spans="1:24" ht="15">
      <c r="A729">
        <v>722</v>
      </c>
      <c r="B729">
        <v>43536</v>
      </c>
      <c r="C729" t="s">
        <v>1916</v>
      </c>
      <c r="D729" t="s">
        <v>819</v>
      </c>
      <c r="E729" t="s">
        <v>17</v>
      </c>
      <c r="F729" t="str">
        <f>"00464632"</f>
        <v>00464632</v>
      </c>
      <c r="G729">
        <v>17.03</v>
      </c>
      <c r="H729">
        <v>0</v>
      </c>
      <c r="I729">
        <v>0</v>
      </c>
      <c r="J729">
        <v>0</v>
      </c>
      <c r="K729">
        <v>0</v>
      </c>
      <c r="N729">
        <v>3</v>
      </c>
      <c r="O729">
        <v>3</v>
      </c>
      <c r="P729">
        <v>4</v>
      </c>
      <c r="Q729">
        <v>2</v>
      </c>
      <c r="R729">
        <v>26.03</v>
      </c>
      <c r="S729">
        <v>0</v>
      </c>
      <c r="T729">
        <v>0</v>
      </c>
      <c r="U729">
        <v>0</v>
      </c>
      <c r="V729">
        <v>0</v>
      </c>
      <c r="W729" t="s">
        <v>14</v>
      </c>
      <c r="X729">
        <v>26.03</v>
      </c>
    </row>
    <row r="730" spans="1:24" ht="15">
      <c r="A730">
        <v>723</v>
      </c>
      <c r="B730">
        <v>89706</v>
      </c>
      <c r="C730" t="s">
        <v>1917</v>
      </c>
      <c r="D730" t="s">
        <v>29</v>
      </c>
      <c r="E730" t="s">
        <v>21</v>
      </c>
      <c r="F730" t="str">
        <f>"00437135"</f>
        <v>00437135</v>
      </c>
      <c r="G730">
        <v>18.03</v>
      </c>
      <c r="H730">
        <v>0</v>
      </c>
      <c r="I730">
        <v>0</v>
      </c>
      <c r="J730">
        <v>0</v>
      </c>
      <c r="K730">
        <v>0</v>
      </c>
      <c r="N730">
        <v>3</v>
      </c>
      <c r="O730">
        <v>3</v>
      </c>
      <c r="P730">
        <v>4</v>
      </c>
      <c r="Q730">
        <v>0</v>
      </c>
      <c r="R730">
        <v>25.03</v>
      </c>
      <c r="S730">
        <v>1</v>
      </c>
      <c r="T730">
        <v>1</v>
      </c>
      <c r="U730">
        <v>0</v>
      </c>
      <c r="V730">
        <v>0</v>
      </c>
      <c r="W730" t="s">
        <v>14</v>
      </c>
      <c r="X730">
        <v>26.03</v>
      </c>
    </row>
    <row r="731" spans="1:24" ht="15">
      <c r="A731">
        <v>724</v>
      </c>
      <c r="B731">
        <v>81837</v>
      </c>
      <c r="C731" t="s">
        <v>110</v>
      </c>
      <c r="D731" t="s">
        <v>135</v>
      </c>
      <c r="E731" t="s">
        <v>12</v>
      </c>
      <c r="F731" t="str">
        <f>"00233967"</f>
        <v>00233967</v>
      </c>
      <c r="G731">
        <v>19</v>
      </c>
      <c r="H731">
        <v>0</v>
      </c>
      <c r="I731">
        <v>0</v>
      </c>
      <c r="J731">
        <v>0</v>
      </c>
      <c r="K731">
        <v>0</v>
      </c>
      <c r="N731">
        <v>3</v>
      </c>
      <c r="O731">
        <v>3</v>
      </c>
      <c r="P731">
        <v>4</v>
      </c>
      <c r="Q731">
        <v>0</v>
      </c>
      <c r="R731">
        <v>26</v>
      </c>
      <c r="S731">
        <v>0</v>
      </c>
      <c r="T731">
        <v>0</v>
      </c>
      <c r="U731">
        <v>0</v>
      </c>
      <c r="V731">
        <v>0</v>
      </c>
      <c r="W731" t="s">
        <v>14</v>
      </c>
      <c r="X731">
        <v>26</v>
      </c>
    </row>
    <row r="732" spans="1:24" ht="15">
      <c r="A732">
        <v>725</v>
      </c>
      <c r="B732">
        <v>28012</v>
      </c>
      <c r="C732" t="s">
        <v>1918</v>
      </c>
      <c r="D732" t="s">
        <v>76</v>
      </c>
      <c r="E732" t="s">
        <v>12</v>
      </c>
      <c r="F732" t="str">
        <f>"00215646"</f>
        <v>00215646</v>
      </c>
      <c r="G732">
        <v>18.98</v>
      </c>
      <c r="H732">
        <v>0</v>
      </c>
      <c r="I732">
        <v>0</v>
      </c>
      <c r="J732">
        <v>0</v>
      </c>
      <c r="K732">
        <v>0</v>
      </c>
      <c r="O732">
        <v>0</v>
      </c>
      <c r="P732">
        <v>4</v>
      </c>
      <c r="Q732">
        <v>0</v>
      </c>
      <c r="R732">
        <v>22.98</v>
      </c>
      <c r="S732">
        <v>0</v>
      </c>
      <c r="T732">
        <v>0</v>
      </c>
      <c r="U732">
        <v>3</v>
      </c>
      <c r="V732">
        <v>0</v>
      </c>
      <c r="W732" t="s">
        <v>14</v>
      </c>
      <c r="X732">
        <v>25.98</v>
      </c>
    </row>
    <row r="733" spans="1:24" ht="15">
      <c r="A733">
        <v>726</v>
      </c>
      <c r="B733">
        <v>34001</v>
      </c>
      <c r="C733" t="s">
        <v>1920</v>
      </c>
      <c r="D733" t="s">
        <v>1921</v>
      </c>
      <c r="E733" t="s">
        <v>111</v>
      </c>
      <c r="F733" t="str">
        <f>"00150224"</f>
        <v>00150224</v>
      </c>
      <c r="G733">
        <v>15.93</v>
      </c>
      <c r="H733">
        <v>0</v>
      </c>
      <c r="I733">
        <v>0</v>
      </c>
      <c r="J733">
        <v>0</v>
      </c>
      <c r="K733">
        <v>0</v>
      </c>
      <c r="N733">
        <v>3</v>
      </c>
      <c r="O733">
        <v>3</v>
      </c>
      <c r="P733">
        <v>4</v>
      </c>
      <c r="Q733">
        <v>0</v>
      </c>
      <c r="R733">
        <v>22.93</v>
      </c>
      <c r="S733">
        <v>0</v>
      </c>
      <c r="T733">
        <v>0</v>
      </c>
      <c r="U733">
        <v>3</v>
      </c>
      <c r="V733">
        <v>0</v>
      </c>
      <c r="W733" t="s">
        <v>14</v>
      </c>
      <c r="X733">
        <v>25.93</v>
      </c>
    </row>
    <row r="734" spans="1:24" ht="15">
      <c r="A734">
        <v>727</v>
      </c>
      <c r="B734">
        <v>59303</v>
      </c>
      <c r="C734" t="s">
        <v>1922</v>
      </c>
      <c r="D734" t="s">
        <v>180</v>
      </c>
      <c r="E734" t="s">
        <v>12</v>
      </c>
      <c r="F734" t="str">
        <f>"00278048"</f>
        <v>00278048</v>
      </c>
      <c r="G734">
        <v>18.88</v>
      </c>
      <c r="H734">
        <v>0</v>
      </c>
      <c r="I734">
        <v>0</v>
      </c>
      <c r="J734">
        <v>0</v>
      </c>
      <c r="K734">
        <v>0</v>
      </c>
      <c r="O734">
        <v>0</v>
      </c>
      <c r="P734">
        <v>4</v>
      </c>
      <c r="Q734">
        <v>0</v>
      </c>
      <c r="R734">
        <v>22.88</v>
      </c>
      <c r="S734">
        <v>0</v>
      </c>
      <c r="T734">
        <v>0</v>
      </c>
      <c r="U734">
        <v>3</v>
      </c>
      <c r="V734">
        <v>0</v>
      </c>
      <c r="W734" t="s">
        <v>14</v>
      </c>
      <c r="X734">
        <v>25.88</v>
      </c>
    </row>
    <row r="735" spans="1:24" ht="15">
      <c r="A735">
        <v>728</v>
      </c>
      <c r="B735">
        <v>100180</v>
      </c>
      <c r="C735" t="s">
        <v>1923</v>
      </c>
      <c r="D735" t="s">
        <v>153</v>
      </c>
      <c r="E735" t="s">
        <v>1490</v>
      </c>
      <c r="F735" t="str">
        <f>"00639131"</f>
        <v>00639131</v>
      </c>
      <c r="G735">
        <v>18.85</v>
      </c>
      <c r="H735">
        <v>0</v>
      </c>
      <c r="I735">
        <v>0</v>
      </c>
      <c r="J735">
        <v>0</v>
      </c>
      <c r="K735">
        <v>0</v>
      </c>
      <c r="N735">
        <v>3</v>
      </c>
      <c r="O735">
        <v>3</v>
      </c>
      <c r="P735">
        <v>4</v>
      </c>
      <c r="Q735">
        <v>0</v>
      </c>
      <c r="R735">
        <v>25.85</v>
      </c>
      <c r="S735">
        <v>0</v>
      </c>
      <c r="T735">
        <v>0</v>
      </c>
      <c r="U735">
        <v>0</v>
      </c>
      <c r="V735">
        <v>0</v>
      </c>
      <c r="W735" t="s">
        <v>14</v>
      </c>
      <c r="X735">
        <v>25.85</v>
      </c>
    </row>
    <row r="736" spans="1:24" ht="15">
      <c r="A736">
        <v>729</v>
      </c>
      <c r="B736">
        <v>51158</v>
      </c>
      <c r="C736" t="s">
        <v>1925</v>
      </c>
      <c r="D736" t="s">
        <v>97</v>
      </c>
      <c r="E736" t="s">
        <v>135</v>
      </c>
      <c r="F736" t="str">
        <f>"00525931"</f>
        <v>00525931</v>
      </c>
      <c r="G736">
        <v>16.85</v>
      </c>
      <c r="H736">
        <v>0</v>
      </c>
      <c r="I736">
        <v>0</v>
      </c>
      <c r="J736">
        <v>0</v>
      </c>
      <c r="K736">
        <v>0</v>
      </c>
      <c r="N736">
        <v>3</v>
      </c>
      <c r="O736">
        <v>3</v>
      </c>
      <c r="P736">
        <v>4</v>
      </c>
      <c r="Q736">
        <v>2</v>
      </c>
      <c r="R736">
        <v>25.85</v>
      </c>
      <c r="S736">
        <v>0</v>
      </c>
      <c r="T736">
        <v>0</v>
      </c>
      <c r="U736">
        <v>0</v>
      </c>
      <c r="V736">
        <v>0</v>
      </c>
      <c r="W736" t="s">
        <v>14</v>
      </c>
      <c r="X736">
        <v>25.85</v>
      </c>
    </row>
    <row r="737" spans="1:24" ht="15">
      <c r="A737">
        <v>730</v>
      </c>
      <c r="B737">
        <v>45540</v>
      </c>
      <c r="C737" t="s">
        <v>1927</v>
      </c>
      <c r="D737" t="s">
        <v>21</v>
      </c>
      <c r="E737" t="s">
        <v>17</v>
      </c>
      <c r="F737" t="str">
        <f>"00430900"</f>
        <v>00430900</v>
      </c>
      <c r="G737">
        <v>16.8</v>
      </c>
      <c r="H737">
        <v>0</v>
      </c>
      <c r="I737">
        <v>0</v>
      </c>
      <c r="J737">
        <v>0</v>
      </c>
      <c r="K737">
        <v>0</v>
      </c>
      <c r="M737">
        <v>5</v>
      </c>
      <c r="O737">
        <v>5</v>
      </c>
      <c r="P737">
        <v>4</v>
      </c>
      <c r="Q737">
        <v>0</v>
      </c>
      <c r="R737">
        <v>25.8</v>
      </c>
      <c r="S737">
        <v>0</v>
      </c>
      <c r="T737">
        <v>0</v>
      </c>
      <c r="U737">
        <v>0</v>
      </c>
      <c r="V737">
        <v>0</v>
      </c>
      <c r="W737" t="s">
        <v>14</v>
      </c>
      <c r="X737">
        <v>25.8</v>
      </c>
    </row>
    <row r="738" spans="1:24" ht="15">
      <c r="A738">
        <v>731</v>
      </c>
      <c r="B738">
        <v>86383</v>
      </c>
      <c r="C738" t="s">
        <v>1929</v>
      </c>
      <c r="D738" t="s">
        <v>442</v>
      </c>
      <c r="E738" t="s">
        <v>30</v>
      </c>
      <c r="F738" t="str">
        <f>"00112708"</f>
        <v>00112708</v>
      </c>
      <c r="G738">
        <v>15.75</v>
      </c>
      <c r="H738">
        <v>0</v>
      </c>
      <c r="I738">
        <v>0</v>
      </c>
      <c r="J738">
        <v>0</v>
      </c>
      <c r="K738">
        <v>0</v>
      </c>
      <c r="N738">
        <v>6</v>
      </c>
      <c r="O738">
        <v>6</v>
      </c>
      <c r="P738">
        <v>4</v>
      </c>
      <c r="Q738">
        <v>0</v>
      </c>
      <c r="R738">
        <v>25.75</v>
      </c>
      <c r="S738">
        <v>0</v>
      </c>
      <c r="T738">
        <v>0</v>
      </c>
      <c r="U738">
        <v>0</v>
      </c>
      <c r="V738">
        <v>0</v>
      </c>
      <c r="W738" t="s">
        <v>14</v>
      </c>
      <c r="X738">
        <v>25.75</v>
      </c>
    </row>
    <row r="739" spans="1:24" ht="15">
      <c r="A739">
        <v>732</v>
      </c>
      <c r="B739">
        <v>11677</v>
      </c>
      <c r="C739" t="s">
        <v>1931</v>
      </c>
      <c r="D739" t="s">
        <v>30</v>
      </c>
      <c r="E739" t="s">
        <v>27</v>
      </c>
      <c r="F739" t="str">
        <f>"201504001200"</f>
        <v>201504001200</v>
      </c>
      <c r="G739">
        <v>18.73</v>
      </c>
      <c r="H739">
        <v>0</v>
      </c>
      <c r="I739">
        <v>0</v>
      </c>
      <c r="J739">
        <v>0</v>
      </c>
      <c r="K739">
        <v>0</v>
      </c>
      <c r="N739">
        <v>3</v>
      </c>
      <c r="O739">
        <v>3</v>
      </c>
      <c r="P739">
        <v>4</v>
      </c>
      <c r="Q739">
        <v>0</v>
      </c>
      <c r="R739">
        <v>25.73</v>
      </c>
      <c r="S739">
        <v>0</v>
      </c>
      <c r="T739">
        <v>0</v>
      </c>
      <c r="U739">
        <v>0</v>
      </c>
      <c r="V739">
        <v>0</v>
      </c>
      <c r="W739" t="s">
        <v>14</v>
      </c>
      <c r="X739">
        <v>25.73</v>
      </c>
    </row>
    <row r="740" spans="1:24" ht="15">
      <c r="A740">
        <v>733</v>
      </c>
      <c r="B740">
        <v>31541</v>
      </c>
      <c r="C740" t="s">
        <v>1932</v>
      </c>
      <c r="D740" t="s">
        <v>1933</v>
      </c>
      <c r="E740" t="s">
        <v>21</v>
      </c>
      <c r="F740" t="str">
        <f>"00207975"</f>
        <v>00207975</v>
      </c>
      <c r="G740">
        <v>18.7</v>
      </c>
      <c r="H740">
        <v>0</v>
      </c>
      <c r="I740">
        <v>0</v>
      </c>
      <c r="J740">
        <v>0</v>
      </c>
      <c r="K740">
        <v>0</v>
      </c>
      <c r="N740">
        <v>3</v>
      </c>
      <c r="O740">
        <v>3</v>
      </c>
      <c r="P740">
        <v>4</v>
      </c>
      <c r="Q740">
        <v>0</v>
      </c>
      <c r="R740">
        <v>25.7</v>
      </c>
      <c r="S740">
        <v>0</v>
      </c>
      <c r="T740">
        <v>0</v>
      </c>
      <c r="U740">
        <v>0</v>
      </c>
      <c r="V740">
        <v>0</v>
      </c>
      <c r="W740" t="s">
        <v>14</v>
      </c>
      <c r="X740">
        <v>25.7</v>
      </c>
    </row>
    <row r="741" spans="1:24" ht="15">
      <c r="A741">
        <v>734</v>
      </c>
      <c r="B741">
        <v>114332</v>
      </c>
      <c r="C741" t="s">
        <v>1935</v>
      </c>
      <c r="D741" t="s">
        <v>75</v>
      </c>
      <c r="E741" t="s">
        <v>30</v>
      </c>
      <c r="F741" t="str">
        <f>"00643723"</f>
        <v>00643723</v>
      </c>
      <c r="G741">
        <v>18.65</v>
      </c>
      <c r="H741">
        <v>0</v>
      </c>
      <c r="I741">
        <v>0</v>
      </c>
      <c r="J741">
        <v>0</v>
      </c>
      <c r="K741">
        <v>0</v>
      </c>
      <c r="N741">
        <v>3</v>
      </c>
      <c r="O741">
        <v>3</v>
      </c>
      <c r="P741">
        <v>4</v>
      </c>
      <c r="Q741">
        <v>0</v>
      </c>
      <c r="R741">
        <v>25.65</v>
      </c>
      <c r="S741">
        <v>0</v>
      </c>
      <c r="T741">
        <v>0</v>
      </c>
      <c r="U741">
        <v>0</v>
      </c>
      <c r="V741">
        <v>0</v>
      </c>
      <c r="W741" t="s">
        <v>14</v>
      </c>
      <c r="X741">
        <v>25.65</v>
      </c>
    </row>
    <row r="742" spans="1:24" ht="15">
      <c r="A742">
        <v>735</v>
      </c>
      <c r="B742">
        <v>30380</v>
      </c>
      <c r="C742" t="s">
        <v>1939</v>
      </c>
      <c r="D742" t="s">
        <v>44</v>
      </c>
      <c r="E742" t="s">
        <v>12</v>
      </c>
      <c r="F742" t="str">
        <f>"00467631"</f>
        <v>00467631</v>
      </c>
      <c r="G742">
        <v>18.6</v>
      </c>
      <c r="H742">
        <v>0</v>
      </c>
      <c r="I742">
        <v>0</v>
      </c>
      <c r="J742">
        <v>0</v>
      </c>
      <c r="K742">
        <v>0</v>
      </c>
      <c r="N742">
        <v>3</v>
      </c>
      <c r="O742">
        <v>3</v>
      </c>
      <c r="P742">
        <v>4</v>
      </c>
      <c r="Q742">
        <v>0</v>
      </c>
      <c r="R742">
        <v>25.6</v>
      </c>
      <c r="S742">
        <v>0</v>
      </c>
      <c r="T742">
        <v>0</v>
      </c>
      <c r="U742">
        <v>0</v>
      </c>
      <c r="V742">
        <v>0</v>
      </c>
      <c r="W742" t="s">
        <v>14</v>
      </c>
      <c r="X742">
        <v>25.6</v>
      </c>
    </row>
    <row r="743" spans="1:24" ht="15">
      <c r="A743">
        <v>736</v>
      </c>
      <c r="B743">
        <v>27175</v>
      </c>
      <c r="C743" t="s">
        <v>1940</v>
      </c>
      <c r="D743" t="s">
        <v>29</v>
      </c>
      <c r="E743" t="s">
        <v>12</v>
      </c>
      <c r="F743" t="str">
        <f>"00583037"</f>
        <v>00583037</v>
      </c>
      <c r="G743">
        <v>18.6</v>
      </c>
      <c r="H743">
        <v>0</v>
      </c>
      <c r="I743">
        <v>0</v>
      </c>
      <c r="J743">
        <v>0</v>
      </c>
      <c r="K743">
        <v>0</v>
      </c>
      <c r="N743">
        <v>3</v>
      </c>
      <c r="O743">
        <v>3</v>
      </c>
      <c r="P743">
        <v>4</v>
      </c>
      <c r="Q743">
        <v>0</v>
      </c>
      <c r="R743">
        <v>25.6</v>
      </c>
      <c r="S743">
        <v>0</v>
      </c>
      <c r="T743">
        <v>0</v>
      </c>
      <c r="U743">
        <v>0</v>
      </c>
      <c r="V743">
        <v>0</v>
      </c>
      <c r="W743" t="s">
        <v>14</v>
      </c>
      <c r="X743">
        <v>25.6</v>
      </c>
    </row>
    <row r="744" spans="1:24" ht="15">
      <c r="A744">
        <v>737</v>
      </c>
      <c r="B744">
        <v>81151</v>
      </c>
      <c r="C744" t="s">
        <v>1943</v>
      </c>
      <c r="D744" t="s">
        <v>1944</v>
      </c>
      <c r="E744" t="s">
        <v>519</v>
      </c>
      <c r="F744" t="str">
        <f>"200811000618"</f>
        <v>200811000618</v>
      </c>
      <c r="G744">
        <v>16.5</v>
      </c>
      <c r="H744">
        <v>0</v>
      </c>
      <c r="I744">
        <v>0</v>
      </c>
      <c r="J744">
        <v>0</v>
      </c>
      <c r="K744">
        <v>0</v>
      </c>
      <c r="O744">
        <v>0</v>
      </c>
      <c r="P744">
        <v>4</v>
      </c>
      <c r="Q744">
        <v>2</v>
      </c>
      <c r="R744">
        <v>22.5</v>
      </c>
      <c r="S744">
        <v>0</v>
      </c>
      <c r="T744">
        <v>0</v>
      </c>
      <c r="U744">
        <v>3</v>
      </c>
      <c r="V744">
        <v>0</v>
      </c>
      <c r="W744" t="s">
        <v>14</v>
      </c>
      <c r="X744">
        <v>25.5</v>
      </c>
    </row>
    <row r="745" spans="1:24" ht="15">
      <c r="A745">
        <v>738</v>
      </c>
      <c r="B745">
        <v>49251</v>
      </c>
      <c r="C745" t="s">
        <v>1945</v>
      </c>
      <c r="D745" t="s">
        <v>75</v>
      </c>
      <c r="E745" t="s">
        <v>1211</v>
      </c>
      <c r="F745" t="str">
        <f>"00464242"</f>
        <v>00464242</v>
      </c>
      <c r="G745">
        <v>21.5</v>
      </c>
      <c r="H745">
        <v>0</v>
      </c>
      <c r="I745">
        <v>0</v>
      </c>
      <c r="J745">
        <v>0</v>
      </c>
      <c r="K745">
        <v>0</v>
      </c>
      <c r="O745">
        <v>0</v>
      </c>
      <c r="P745">
        <v>4</v>
      </c>
      <c r="Q745">
        <v>0</v>
      </c>
      <c r="R745">
        <v>25.5</v>
      </c>
      <c r="S745">
        <v>0</v>
      </c>
      <c r="T745">
        <v>0</v>
      </c>
      <c r="U745">
        <v>0</v>
      </c>
      <c r="V745">
        <v>0</v>
      </c>
      <c r="W745" t="s">
        <v>14</v>
      </c>
      <c r="X745">
        <v>25.5</v>
      </c>
    </row>
    <row r="746" spans="1:24" ht="15">
      <c r="A746">
        <v>739</v>
      </c>
      <c r="B746">
        <v>43389</v>
      </c>
      <c r="C746" t="s">
        <v>1949</v>
      </c>
      <c r="D746" t="s">
        <v>75</v>
      </c>
      <c r="E746" t="s">
        <v>21</v>
      </c>
      <c r="F746" t="str">
        <f>"00619830"</f>
        <v>00619830</v>
      </c>
      <c r="G746">
        <v>21.45</v>
      </c>
      <c r="H746">
        <v>0</v>
      </c>
      <c r="I746">
        <v>0</v>
      </c>
      <c r="J746">
        <v>0</v>
      </c>
      <c r="K746">
        <v>0</v>
      </c>
      <c r="O746">
        <v>0</v>
      </c>
      <c r="P746">
        <v>4</v>
      </c>
      <c r="Q746">
        <v>0</v>
      </c>
      <c r="R746">
        <v>25.45</v>
      </c>
      <c r="S746">
        <v>0</v>
      </c>
      <c r="T746">
        <v>0</v>
      </c>
      <c r="U746">
        <v>0</v>
      </c>
      <c r="V746">
        <v>0</v>
      </c>
      <c r="W746" t="s">
        <v>14</v>
      </c>
      <c r="X746">
        <v>25.45</v>
      </c>
    </row>
    <row r="747" spans="1:24" ht="15">
      <c r="A747">
        <v>740</v>
      </c>
      <c r="B747">
        <v>47802</v>
      </c>
      <c r="C747" t="s">
        <v>1951</v>
      </c>
      <c r="D747" t="s">
        <v>442</v>
      </c>
      <c r="E747" t="s">
        <v>109</v>
      </c>
      <c r="F747" t="str">
        <f>"00009045"</f>
        <v>00009045</v>
      </c>
      <c r="G747">
        <v>15.4</v>
      </c>
      <c r="H747">
        <v>0</v>
      </c>
      <c r="I747">
        <v>0</v>
      </c>
      <c r="J747">
        <v>0</v>
      </c>
      <c r="K747">
        <v>0</v>
      </c>
      <c r="N747">
        <v>3</v>
      </c>
      <c r="O747">
        <v>3</v>
      </c>
      <c r="P747">
        <v>4</v>
      </c>
      <c r="Q747">
        <v>0</v>
      </c>
      <c r="R747">
        <v>22.4</v>
      </c>
      <c r="S747">
        <v>0</v>
      </c>
      <c r="T747">
        <v>0</v>
      </c>
      <c r="U747">
        <v>3</v>
      </c>
      <c r="V747">
        <v>0</v>
      </c>
      <c r="W747" t="s">
        <v>14</v>
      </c>
      <c r="X747">
        <v>25.4</v>
      </c>
    </row>
    <row r="748" spans="1:24" ht="15">
      <c r="A748">
        <v>741</v>
      </c>
      <c r="B748">
        <v>113370</v>
      </c>
      <c r="C748" t="s">
        <v>1954</v>
      </c>
      <c r="D748" t="s">
        <v>640</v>
      </c>
      <c r="E748" t="s">
        <v>1955</v>
      </c>
      <c r="F748" t="str">
        <f>"00638228"</f>
        <v>00638228</v>
      </c>
      <c r="G748">
        <v>18.38</v>
      </c>
      <c r="H748">
        <v>0</v>
      </c>
      <c r="I748">
        <v>0</v>
      </c>
      <c r="J748">
        <v>0</v>
      </c>
      <c r="K748">
        <v>0</v>
      </c>
      <c r="N748">
        <v>3</v>
      </c>
      <c r="O748">
        <v>3</v>
      </c>
      <c r="P748">
        <v>4</v>
      </c>
      <c r="Q748">
        <v>0</v>
      </c>
      <c r="R748">
        <v>25.38</v>
      </c>
      <c r="S748">
        <v>0</v>
      </c>
      <c r="T748">
        <v>0</v>
      </c>
      <c r="U748">
        <v>0</v>
      </c>
      <c r="V748">
        <v>0</v>
      </c>
      <c r="W748" t="s">
        <v>14</v>
      </c>
      <c r="X748">
        <v>25.38</v>
      </c>
    </row>
    <row r="749" spans="1:24" ht="15">
      <c r="A749">
        <v>742</v>
      </c>
      <c r="B749">
        <v>76176</v>
      </c>
      <c r="C749" t="s">
        <v>1957</v>
      </c>
      <c r="D749" t="s">
        <v>316</v>
      </c>
      <c r="E749" t="s">
        <v>27</v>
      </c>
      <c r="F749" t="str">
        <f>"00631598"</f>
        <v>00631598</v>
      </c>
      <c r="G749">
        <v>18.38</v>
      </c>
      <c r="H749">
        <v>0</v>
      </c>
      <c r="I749">
        <v>0</v>
      </c>
      <c r="J749">
        <v>0</v>
      </c>
      <c r="K749">
        <v>0</v>
      </c>
      <c r="N749">
        <v>3</v>
      </c>
      <c r="O749">
        <v>3</v>
      </c>
      <c r="P749">
        <v>4</v>
      </c>
      <c r="Q749">
        <v>0</v>
      </c>
      <c r="R749">
        <v>25.38</v>
      </c>
      <c r="S749">
        <v>0</v>
      </c>
      <c r="T749">
        <v>0</v>
      </c>
      <c r="U749">
        <v>0</v>
      </c>
      <c r="V749">
        <v>0</v>
      </c>
      <c r="W749" t="s">
        <v>14</v>
      </c>
      <c r="X749">
        <v>25.38</v>
      </c>
    </row>
    <row r="750" spans="1:24" ht="15">
      <c r="A750">
        <v>743</v>
      </c>
      <c r="B750">
        <v>33853</v>
      </c>
      <c r="C750" t="s">
        <v>1814</v>
      </c>
      <c r="D750" t="s">
        <v>1527</v>
      </c>
      <c r="E750" t="s">
        <v>17</v>
      </c>
      <c r="F750" t="str">
        <f>"00244359"</f>
        <v>00244359</v>
      </c>
      <c r="G750">
        <v>18.35</v>
      </c>
      <c r="H750">
        <v>0</v>
      </c>
      <c r="I750">
        <v>0</v>
      </c>
      <c r="J750">
        <v>0</v>
      </c>
      <c r="K750">
        <v>0</v>
      </c>
      <c r="N750">
        <v>3</v>
      </c>
      <c r="O750">
        <v>3</v>
      </c>
      <c r="P750">
        <v>4</v>
      </c>
      <c r="Q750">
        <v>0</v>
      </c>
      <c r="R750">
        <v>25.35</v>
      </c>
      <c r="S750">
        <v>0</v>
      </c>
      <c r="T750">
        <v>0</v>
      </c>
      <c r="U750">
        <v>0</v>
      </c>
      <c r="V750">
        <v>0</v>
      </c>
      <c r="W750" t="s">
        <v>14</v>
      </c>
      <c r="X750">
        <v>25.35</v>
      </c>
    </row>
    <row r="751" spans="1:24" ht="15">
      <c r="A751">
        <v>744</v>
      </c>
      <c r="B751">
        <v>79040</v>
      </c>
      <c r="C751" t="s">
        <v>946</v>
      </c>
      <c r="D751" t="s">
        <v>1958</v>
      </c>
      <c r="E751" t="s">
        <v>1959</v>
      </c>
      <c r="F751" t="str">
        <f>"201410012380"</f>
        <v>201410012380</v>
      </c>
      <c r="G751">
        <v>15.35</v>
      </c>
      <c r="H751">
        <v>0</v>
      </c>
      <c r="I751">
        <v>0</v>
      </c>
      <c r="J751">
        <v>0</v>
      </c>
      <c r="K751">
        <v>0</v>
      </c>
      <c r="N751">
        <v>6</v>
      </c>
      <c r="O751">
        <v>6</v>
      </c>
      <c r="P751">
        <v>4</v>
      </c>
      <c r="Q751">
        <v>0</v>
      </c>
      <c r="R751">
        <v>25.35</v>
      </c>
      <c r="S751">
        <v>0</v>
      </c>
      <c r="T751">
        <v>0</v>
      </c>
      <c r="U751">
        <v>0</v>
      </c>
      <c r="V751">
        <v>0</v>
      </c>
      <c r="W751" t="s">
        <v>14</v>
      </c>
      <c r="X751">
        <v>25.35</v>
      </c>
    </row>
    <row r="752" spans="1:24" ht="15">
      <c r="A752">
        <v>745</v>
      </c>
      <c r="B752">
        <v>81347</v>
      </c>
      <c r="C752" t="s">
        <v>1961</v>
      </c>
      <c r="D752" t="s">
        <v>1962</v>
      </c>
      <c r="E752" t="s">
        <v>109</v>
      </c>
      <c r="F752" t="str">
        <f>"00644279"</f>
        <v>00644279</v>
      </c>
      <c r="G752">
        <v>16.3</v>
      </c>
      <c r="H752">
        <v>0</v>
      </c>
      <c r="I752">
        <v>0</v>
      </c>
      <c r="J752">
        <v>0</v>
      </c>
      <c r="K752">
        <v>0</v>
      </c>
      <c r="M752">
        <v>5</v>
      </c>
      <c r="O752">
        <v>5</v>
      </c>
      <c r="P752">
        <v>4</v>
      </c>
      <c r="Q752">
        <v>0</v>
      </c>
      <c r="R752">
        <v>25.3</v>
      </c>
      <c r="S752">
        <v>0</v>
      </c>
      <c r="T752">
        <v>0</v>
      </c>
      <c r="U752">
        <v>0</v>
      </c>
      <c r="V752">
        <v>0</v>
      </c>
      <c r="W752" t="s">
        <v>14</v>
      </c>
      <c r="X752">
        <v>25.3</v>
      </c>
    </row>
    <row r="753" spans="1:24" ht="15">
      <c r="A753">
        <v>746</v>
      </c>
      <c r="B753">
        <v>86709</v>
      </c>
      <c r="C753" t="s">
        <v>1964</v>
      </c>
      <c r="D753" t="s">
        <v>1965</v>
      </c>
      <c r="E753" t="s">
        <v>201</v>
      </c>
      <c r="F753" t="str">
        <f>"00005662"</f>
        <v>00005662</v>
      </c>
      <c r="G753">
        <v>16.28</v>
      </c>
      <c r="H753">
        <v>0</v>
      </c>
      <c r="I753">
        <v>0</v>
      </c>
      <c r="J753">
        <v>0</v>
      </c>
      <c r="K753">
        <v>0</v>
      </c>
      <c r="M753">
        <v>5</v>
      </c>
      <c r="O753">
        <v>5</v>
      </c>
      <c r="P753">
        <v>4</v>
      </c>
      <c r="Q753">
        <v>0</v>
      </c>
      <c r="R753">
        <v>25.28</v>
      </c>
      <c r="S753">
        <v>0</v>
      </c>
      <c r="T753">
        <v>0</v>
      </c>
      <c r="U753">
        <v>0</v>
      </c>
      <c r="V753">
        <v>0</v>
      </c>
      <c r="W753" t="s">
        <v>14</v>
      </c>
      <c r="X753">
        <v>25.28</v>
      </c>
    </row>
    <row r="754" spans="1:24" ht="15">
      <c r="A754">
        <v>747</v>
      </c>
      <c r="B754">
        <v>59246</v>
      </c>
      <c r="C754" t="s">
        <v>1966</v>
      </c>
      <c r="D754" t="s">
        <v>50</v>
      </c>
      <c r="E754" t="s">
        <v>120</v>
      </c>
      <c r="F754" t="str">
        <f>"00472696"</f>
        <v>00472696</v>
      </c>
      <c r="G754">
        <v>16.28</v>
      </c>
      <c r="H754">
        <v>0</v>
      </c>
      <c r="I754">
        <v>0</v>
      </c>
      <c r="J754">
        <v>0</v>
      </c>
      <c r="K754">
        <v>0</v>
      </c>
      <c r="N754">
        <v>3</v>
      </c>
      <c r="O754">
        <v>3</v>
      </c>
      <c r="P754">
        <v>4</v>
      </c>
      <c r="Q754">
        <v>2</v>
      </c>
      <c r="R754">
        <v>25.28</v>
      </c>
      <c r="S754">
        <v>0</v>
      </c>
      <c r="T754">
        <v>0</v>
      </c>
      <c r="U754">
        <v>0</v>
      </c>
      <c r="V754">
        <v>0</v>
      </c>
      <c r="W754" t="s">
        <v>14</v>
      </c>
      <c r="X754">
        <v>25.28</v>
      </c>
    </row>
    <row r="755" spans="1:24" ht="15">
      <c r="A755">
        <v>748</v>
      </c>
      <c r="B755">
        <v>102353</v>
      </c>
      <c r="C755" t="s">
        <v>1972</v>
      </c>
      <c r="D755" t="s">
        <v>1973</v>
      </c>
      <c r="E755" t="s">
        <v>155</v>
      </c>
      <c r="F755" t="str">
        <f>"00582386"</f>
        <v>00582386</v>
      </c>
      <c r="G755">
        <v>18.18</v>
      </c>
      <c r="H755">
        <v>0</v>
      </c>
      <c r="I755">
        <v>0</v>
      </c>
      <c r="J755">
        <v>0</v>
      </c>
      <c r="K755">
        <v>0</v>
      </c>
      <c r="N755">
        <v>3</v>
      </c>
      <c r="O755">
        <v>3</v>
      </c>
      <c r="P755">
        <v>4</v>
      </c>
      <c r="Q755">
        <v>0</v>
      </c>
      <c r="R755">
        <v>25.18</v>
      </c>
      <c r="S755">
        <v>0</v>
      </c>
      <c r="T755">
        <v>0</v>
      </c>
      <c r="U755">
        <v>0</v>
      </c>
      <c r="V755">
        <v>0</v>
      </c>
      <c r="W755" t="s">
        <v>14</v>
      </c>
      <c r="X755">
        <v>25.18</v>
      </c>
    </row>
    <row r="756" spans="1:24" ht="15">
      <c r="A756">
        <v>749</v>
      </c>
      <c r="B756">
        <v>106290</v>
      </c>
      <c r="C756" t="s">
        <v>1974</v>
      </c>
      <c r="D756" t="s">
        <v>43</v>
      </c>
      <c r="E756" t="s">
        <v>27</v>
      </c>
      <c r="F756" t="str">
        <f>"00366686"</f>
        <v>00366686</v>
      </c>
      <c r="G756">
        <v>15.13</v>
      </c>
      <c r="H756">
        <v>0</v>
      </c>
      <c r="I756">
        <v>0</v>
      </c>
      <c r="J756">
        <v>0</v>
      </c>
      <c r="K756">
        <v>0</v>
      </c>
      <c r="N756">
        <v>3</v>
      </c>
      <c r="O756">
        <v>3</v>
      </c>
      <c r="P756">
        <v>4</v>
      </c>
      <c r="Q756">
        <v>0</v>
      </c>
      <c r="R756">
        <v>22.13</v>
      </c>
      <c r="S756">
        <v>0</v>
      </c>
      <c r="T756">
        <v>0</v>
      </c>
      <c r="U756">
        <v>3</v>
      </c>
      <c r="V756">
        <v>0</v>
      </c>
      <c r="W756" t="s">
        <v>14</v>
      </c>
      <c r="X756">
        <v>25.13</v>
      </c>
    </row>
    <row r="757" spans="1:24" ht="15">
      <c r="A757">
        <v>750</v>
      </c>
      <c r="B757">
        <v>63852</v>
      </c>
      <c r="C757" t="s">
        <v>1975</v>
      </c>
      <c r="D757" t="s">
        <v>513</v>
      </c>
      <c r="E757" t="s">
        <v>12</v>
      </c>
      <c r="F757" t="str">
        <f>"00430052"</f>
        <v>00430052</v>
      </c>
      <c r="G757">
        <v>18.13</v>
      </c>
      <c r="H757">
        <v>0</v>
      </c>
      <c r="I757">
        <v>0</v>
      </c>
      <c r="J757">
        <v>0</v>
      </c>
      <c r="K757">
        <v>0</v>
      </c>
      <c r="N757">
        <v>3</v>
      </c>
      <c r="O757">
        <v>3</v>
      </c>
      <c r="P757">
        <v>4</v>
      </c>
      <c r="Q757">
        <v>0</v>
      </c>
      <c r="R757">
        <v>25.13</v>
      </c>
      <c r="S757">
        <v>0</v>
      </c>
      <c r="T757">
        <v>0</v>
      </c>
      <c r="U757">
        <v>0</v>
      </c>
      <c r="V757">
        <v>0</v>
      </c>
      <c r="W757" t="s">
        <v>14</v>
      </c>
      <c r="X757">
        <v>25.13</v>
      </c>
    </row>
    <row r="758" spans="1:24" ht="15">
      <c r="A758">
        <v>751</v>
      </c>
      <c r="B758">
        <v>87728</v>
      </c>
      <c r="C758" t="s">
        <v>1976</v>
      </c>
      <c r="D758" t="s">
        <v>97</v>
      </c>
      <c r="E758" t="s">
        <v>24</v>
      </c>
      <c r="F758" t="str">
        <f>"201201000053"</f>
        <v>201201000053</v>
      </c>
      <c r="G758">
        <v>18.13</v>
      </c>
      <c r="H758">
        <v>0</v>
      </c>
      <c r="I758">
        <v>0</v>
      </c>
      <c r="J758">
        <v>0</v>
      </c>
      <c r="K758">
        <v>0</v>
      </c>
      <c r="N758">
        <v>3</v>
      </c>
      <c r="O758">
        <v>3</v>
      </c>
      <c r="P758">
        <v>4</v>
      </c>
      <c r="Q758">
        <v>0</v>
      </c>
      <c r="R758">
        <v>25.13</v>
      </c>
      <c r="S758">
        <v>0</v>
      </c>
      <c r="T758">
        <v>0</v>
      </c>
      <c r="U758">
        <v>0</v>
      </c>
      <c r="V758">
        <v>0</v>
      </c>
      <c r="W758" t="s">
        <v>14</v>
      </c>
      <c r="X758">
        <v>25.13</v>
      </c>
    </row>
    <row r="759" spans="1:24" ht="15">
      <c r="A759">
        <v>752</v>
      </c>
      <c r="B759">
        <v>9809</v>
      </c>
      <c r="C759" t="s">
        <v>1977</v>
      </c>
      <c r="D759" t="s">
        <v>1978</v>
      </c>
      <c r="E759" t="s">
        <v>53</v>
      </c>
      <c r="F759" t="str">
        <f>"00006484"</f>
        <v>00006484</v>
      </c>
      <c r="G759">
        <v>18.1</v>
      </c>
      <c r="H759">
        <v>0</v>
      </c>
      <c r="I759">
        <v>0</v>
      </c>
      <c r="J759">
        <v>0</v>
      </c>
      <c r="K759">
        <v>0</v>
      </c>
      <c r="N759">
        <v>3</v>
      </c>
      <c r="O759">
        <v>3</v>
      </c>
      <c r="P759">
        <v>4</v>
      </c>
      <c r="Q759">
        <v>0</v>
      </c>
      <c r="R759">
        <v>25.1</v>
      </c>
      <c r="S759">
        <v>0</v>
      </c>
      <c r="T759">
        <v>0</v>
      </c>
      <c r="U759">
        <v>0</v>
      </c>
      <c r="V759">
        <v>0</v>
      </c>
      <c r="W759" t="s">
        <v>14</v>
      </c>
      <c r="X759">
        <v>25.1</v>
      </c>
    </row>
    <row r="760" spans="1:24" ht="15">
      <c r="A760">
        <v>753</v>
      </c>
      <c r="B760">
        <v>111632</v>
      </c>
      <c r="C760" t="s">
        <v>1979</v>
      </c>
      <c r="D760" t="s">
        <v>17</v>
      </c>
      <c r="E760" t="s">
        <v>270</v>
      </c>
      <c r="F760" t="str">
        <f>"00633560"</f>
        <v>00633560</v>
      </c>
      <c r="G760">
        <v>18.1</v>
      </c>
      <c r="H760">
        <v>0</v>
      </c>
      <c r="I760">
        <v>0</v>
      </c>
      <c r="J760">
        <v>0</v>
      </c>
      <c r="K760">
        <v>0</v>
      </c>
      <c r="N760">
        <v>3</v>
      </c>
      <c r="O760">
        <v>3</v>
      </c>
      <c r="P760">
        <v>4</v>
      </c>
      <c r="Q760">
        <v>0</v>
      </c>
      <c r="R760">
        <v>25.1</v>
      </c>
      <c r="S760">
        <v>0</v>
      </c>
      <c r="T760">
        <v>0</v>
      </c>
      <c r="U760">
        <v>0</v>
      </c>
      <c r="V760">
        <v>0</v>
      </c>
      <c r="W760" t="s">
        <v>14</v>
      </c>
      <c r="X760">
        <v>25.1</v>
      </c>
    </row>
    <row r="761" spans="1:24" ht="15">
      <c r="A761">
        <v>754</v>
      </c>
      <c r="B761">
        <v>94030</v>
      </c>
      <c r="C761" t="s">
        <v>1982</v>
      </c>
      <c r="D761" t="s">
        <v>1009</v>
      </c>
      <c r="E761" t="s">
        <v>80</v>
      </c>
      <c r="F761" t="str">
        <f>"00439260"</f>
        <v>00439260</v>
      </c>
      <c r="G761">
        <v>15.93</v>
      </c>
      <c r="H761">
        <v>0</v>
      </c>
      <c r="I761">
        <v>0</v>
      </c>
      <c r="J761">
        <v>0</v>
      </c>
      <c r="K761">
        <v>0</v>
      </c>
      <c r="O761">
        <v>0</v>
      </c>
      <c r="P761">
        <v>4</v>
      </c>
      <c r="Q761">
        <v>2</v>
      </c>
      <c r="R761">
        <v>21.93</v>
      </c>
      <c r="S761">
        <v>0</v>
      </c>
      <c r="T761">
        <v>0</v>
      </c>
      <c r="U761">
        <v>3</v>
      </c>
      <c r="V761">
        <v>0</v>
      </c>
      <c r="W761" t="s">
        <v>14</v>
      </c>
      <c r="X761">
        <v>24.93</v>
      </c>
    </row>
    <row r="762" spans="1:24" ht="15">
      <c r="A762">
        <v>755</v>
      </c>
      <c r="B762">
        <v>88325</v>
      </c>
      <c r="C762" t="s">
        <v>1984</v>
      </c>
      <c r="D762" t="s">
        <v>296</v>
      </c>
      <c r="E762" t="s">
        <v>270</v>
      </c>
      <c r="F762" t="str">
        <f>"00357823"</f>
        <v>00357823</v>
      </c>
      <c r="G762">
        <v>15.93</v>
      </c>
      <c r="H762">
        <v>0</v>
      </c>
      <c r="I762">
        <v>0</v>
      </c>
      <c r="J762">
        <v>0</v>
      </c>
      <c r="K762">
        <v>0</v>
      </c>
      <c r="N762">
        <v>3</v>
      </c>
      <c r="O762">
        <v>3</v>
      </c>
      <c r="P762">
        <v>4</v>
      </c>
      <c r="Q762">
        <v>2</v>
      </c>
      <c r="R762">
        <v>24.93</v>
      </c>
      <c r="S762">
        <v>0</v>
      </c>
      <c r="T762">
        <v>0</v>
      </c>
      <c r="U762">
        <v>0</v>
      </c>
      <c r="V762">
        <v>0</v>
      </c>
      <c r="W762" t="s">
        <v>14</v>
      </c>
      <c r="X762">
        <v>24.93</v>
      </c>
    </row>
    <row r="763" spans="1:24" ht="15">
      <c r="A763">
        <v>756</v>
      </c>
      <c r="B763">
        <v>54140</v>
      </c>
      <c r="C763" t="s">
        <v>1986</v>
      </c>
      <c r="D763" t="s">
        <v>30</v>
      </c>
      <c r="E763" t="s">
        <v>60</v>
      </c>
      <c r="F763" t="str">
        <f>"00512057"</f>
        <v>00512057</v>
      </c>
      <c r="G763">
        <v>15.83</v>
      </c>
      <c r="H763">
        <v>0</v>
      </c>
      <c r="I763">
        <v>0</v>
      </c>
      <c r="J763">
        <v>0</v>
      </c>
      <c r="K763">
        <v>0</v>
      </c>
      <c r="M763">
        <v>5</v>
      </c>
      <c r="O763">
        <v>5</v>
      </c>
      <c r="P763">
        <v>4</v>
      </c>
      <c r="Q763">
        <v>0</v>
      </c>
      <c r="R763">
        <v>24.83</v>
      </c>
      <c r="S763">
        <v>0</v>
      </c>
      <c r="T763">
        <v>0</v>
      </c>
      <c r="U763">
        <v>0</v>
      </c>
      <c r="V763">
        <v>0</v>
      </c>
      <c r="W763" t="s">
        <v>14</v>
      </c>
      <c r="X763">
        <v>24.83</v>
      </c>
    </row>
    <row r="764" spans="1:24" ht="15">
      <c r="A764">
        <v>757</v>
      </c>
      <c r="B764">
        <v>78468</v>
      </c>
      <c r="C764" t="s">
        <v>1987</v>
      </c>
      <c r="D764" t="s">
        <v>928</v>
      </c>
      <c r="E764" t="s">
        <v>124</v>
      </c>
      <c r="F764" t="str">
        <f>"00642074"</f>
        <v>00642074</v>
      </c>
      <c r="G764">
        <v>16.8</v>
      </c>
      <c r="H764">
        <v>0</v>
      </c>
      <c r="I764">
        <v>0</v>
      </c>
      <c r="J764">
        <v>0</v>
      </c>
      <c r="K764">
        <v>0</v>
      </c>
      <c r="O764">
        <v>0</v>
      </c>
      <c r="P764">
        <v>4</v>
      </c>
      <c r="Q764">
        <v>0</v>
      </c>
      <c r="R764">
        <v>20.8</v>
      </c>
      <c r="S764">
        <v>1</v>
      </c>
      <c r="T764">
        <v>1</v>
      </c>
      <c r="U764">
        <v>3</v>
      </c>
      <c r="V764">
        <v>0</v>
      </c>
      <c r="W764" t="s">
        <v>14</v>
      </c>
      <c r="X764">
        <v>24.8</v>
      </c>
    </row>
    <row r="765" spans="1:24" ht="15">
      <c r="A765">
        <v>758</v>
      </c>
      <c r="B765">
        <v>51460</v>
      </c>
      <c r="C765" t="s">
        <v>1991</v>
      </c>
      <c r="D765" t="s">
        <v>29</v>
      </c>
      <c r="E765" t="s">
        <v>713</v>
      </c>
      <c r="F765" t="str">
        <f>"00218637"</f>
        <v>00218637</v>
      </c>
      <c r="G765">
        <v>17.75</v>
      </c>
      <c r="H765">
        <v>0</v>
      </c>
      <c r="I765">
        <v>0</v>
      </c>
      <c r="J765">
        <v>0</v>
      </c>
      <c r="K765">
        <v>0</v>
      </c>
      <c r="N765">
        <v>3</v>
      </c>
      <c r="O765">
        <v>3</v>
      </c>
      <c r="P765">
        <v>4</v>
      </c>
      <c r="Q765">
        <v>0</v>
      </c>
      <c r="R765">
        <v>24.75</v>
      </c>
      <c r="S765">
        <v>0</v>
      </c>
      <c r="T765">
        <v>0</v>
      </c>
      <c r="U765">
        <v>0</v>
      </c>
      <c r="V765">
        <v>0</v>
      </c>
      <c r="W765" t="s">
        <v>14</v>
      </c>
      <c r="X765">
        <v>24.75</v>
      </c>
    </row>
    <row r="766" spans="1:24" ht="15">
      <c r="A766">
        <v>759</v>
      </c>
      <c r="B766">
        <v>76362</v>
      </c>
      <c r="C766" t="s">
        <v>1993</v>
      </c>
      <c r="D766" t="s">
        <v>41</v>
      </c>
      <c r="E766" t="s">
        <v>109</v>
      </c>
      <c r="F766" t="str">
        <f>"00631529"</f>
        <v>00631529</v>
      </c>
      <c r="G766">
        <v>17.68</v>
      </c>
      <c r="H766">
        <v>0</v>
      </c>
      <c r="I766">
        <v>0</v>
      </c>
      <c r="J766">
        <v>0</v>
      </c>
      <c r="K766">
        <v>0</v>
      </c>
      <c r="N766">
        <v>3</v>
      </c>
      <c r="O766">
        <v>3</v>
      </c>
      <c r="P766">
        <v>4</v>
      </c>
      <c r="Q766">
        <v>0</v>
      </c>
      <c r="R766">
        <v>24.68</v>
      </c>
      <c r="S766">
        <v>0</v>
      </c>
      <c r="T766">
        <v>0</v>
      </c>
      <c r="U766">
        <v>0</v>
      </c>
      <c r="V766">
        <v>0</v>
      </c>
      <c r="W766" t="s">
        <v>14</v>
      </c>
      <c r="X766">
        <v>24.68</v>
      </c>
    </row>
    <row r="767" spans="1:24" ht="15">
      <c r="A767">
        <v>760</v>
      </c>
      <c r="B767">
        <v>87305</v>
      </c>
      <c r="C767" t="s">
        <v>1994</v>
      </c>
      <c r="D767" t="s">
        <v>29</v>
      </c>
      <c r="E767" t="s">
        <v>1995</v>
      </c>
      <c r="F767" t="str">
        <f>"00321281"</f>
        <v>00321281</v>
      </c>
      <c r="G767">
        <v>17.68</v>
      </c>
      <c r="H767">
        <v>0</v>
      </c>
      <c r="I767">
        <v>0</v>
      </c>
      <c r="J767">
        <v>0</v>
      </c>
      <c r="K767">
        <v>0</v>
      </c>
      <c r="N767">
        <v>3</v>
      </c>
      <c r="O767">
        <v>3</v>
      </c>
      <c r="P767">
        <v>4</v>
      </c>
      <c r="Q767">
        <v>0</v>
      </c>
      <c r="R767">
        <v>24.68</v>
      </c>
      <c r="S767">
        <v>0</v>
      </c>
      <c r="T767">
        <v>0</v>
      </c>
      <c r="U767">
        <v>0</v>
      </c>
      <c r="V767">
        <v>0</v>
      </c>
      <c r="W767" t="s">
        <v>14</v>
      </c>
      <c r="X767">
        <v>24.68</v>
      </c>
    </row>
    <row r="768" spans="1:24" ht="15">
      <c r="A768">
        <v>761</v>
      </c>
      <c r="B768">
        <v>90109</v>
      </c>
      <c r="C768" t="s">
        <v>1996</v>
      </c>
      <c r="D768" t="s">
        <v>180</v>
      </c>
      <c r="E768" t="s">
        <v>30</v>
      </c>
      <c r="F768" t="str">
        <f>"00542355"</f>
        <v>00542355</v>
      </c>
      <c r="G768">
        <v>17.65</v>
      </c>
      <c r="H768">
        <v>0</v>
      </c>
      <c r="I768">
        <v>0</v>
      </c>
      <c r="J768">
        <v>0</v>
      </c>
      <c r="K768">
        <v>0</v>
      </c>
      <c r="N768">
        <v>3</v>
      </c>
      <c r="O768">
        <v>3</v>
      </c>
      <c r="P768">
        <v>4</v>
      </c>
      <c r="Q768">
        <v>0</v>
      </c>
      <c r="R768">
        <v>24.65</v>
      </c>
      <c r="S768">
        <v>0</v>
      </c>
      <c r="T768">
        <v>0</v>
      </c>
      <c r="U768">
        <v>0</v>
      </c>
      <c r="V768">
        <v>0</v>
      </c>
      <c r="W768" t="s">
        <v>14</v>
      </c>
      <c r="X768">
        <v>24.65</v>
      </c>
    </row>
    <row r="769" spans="1:24" ht="15">
      <c r="A769">
        <v>762</v>
      </c>
      <c r="B769">
        <v>69382</v>
      </c>
      <c r="C769" t="s">
        <v>1997</v>
      </c>
      <c r="D769" t="s">
        <v>1289</v>
      </c>
      <c r="E769" t="s">
        <v>135</v>
      </c>
      <c r="F769" t="str">
        <f>"00220508"</f>
        <v>00220508</v>
      </c>
      <c r="G769">
        <v>17.63</v>
      </c>
      <c r="H769">
        <v>0</v>
      </c>
      <c r="I769">
        <v>0</v>
      </c>
      <c r="J769">
        <v>0</v>
      </c>
      <c r="K769">
        <v>0</v>
      </c>
      <c r="N769">
        <v>3</v>
      </c>
      <c r="O769">
        <v>3</v>
      </c>
      <c r="P769">
        <v>4</v>
      </c>
      <c r="Q769">
        <v>0</v>
      </c>
      <c r="R769">
        <v>24.63</v>
      </c>
      <c r="S769">
        <v>0</v>
      </c>
      <c r="T769">
        <v>0</v>
      </c>
      <c r="U769">
        <v>0</v>
      </c>
      <c r="V769">
        <v>0</v>
      </c>
      <c r="W769" t="s">
        <v>14</v>
      </c>
      <c r="X769">
        <v>24.63</v>
      </c>
    </row>
    <row r="770" spans="1:24" ht="15">
      <c r="A770">
        <v>763</v>
      </c>
      <c r="B770">
        <v>112324</v>
      </c>
      <c r="C770" t="s">
        <v>1998</v>
      </c>
      <c r="D770" t="s">
        <v>46</v>
      </c>
      <c r="E770" t="s">
        <v>30</v>
      </c>
      <c r="F770" t="str">
        <f>"00008981"</f>
        <v>00008981</v>
      </c>
      <c r="G770">
        <v>17.6</v>
      </c>
      <c r="H770">
        <v>0</v>
      </c>
      <c r="I770">
        <v>0</v>
      </c>
      <c r="J770">
        <v>0</v>
      </c>
      <c r="K770">
        <v>0</v>
      </c>
      <c r="N770">
        <v>3</v>
      </c>
      <c r="O770">
        <v>3</v>
      </c>
      <c r="P770">
        <v>4</v>
      </c>
      <c r="Q770">
        <v>0</v>
      </c>
      <c r="R770">
        <v>24.6</v>
      </c>
      <c r="S770">
        <v>0</v>
      </c>
      <c r="T770">
        <v>0</v>
      </c>
      <c r="U770">
        <v>0</v>
      </c>
      <c r="V770">
        <v>0</v>
      </c>
      <c r="W770" t="s">
        <v>14</v>
      </c>
      <c r="X770">
        <v>24.6</v>
      </c>
    </row>
    <row r="771" spans="1:24" ht="15">
      <c r="A771">
        <v>764</v>
      </c>
      <c r="B771">
        <v>51902</v>
      </c>
      <c r="C771" t="s">
        <v>2002</v>
      </c>
      <c r="D771" t="s">
        <v>139</v>
      </c>
      <c r="E771" t="s">
        <v>21</v>
      </c>
      <c r="F771" t="str">
        <f>"201402004394"</f>
        <v>201402004394</v>
      </c>
      <c r="G771">
        <v>15.53</v>
      </c>
      <c r="H771">
        <v>0</v>
      </c>
      <c r="I771">
        <v>0</v>
      </c>
      <c r="J771">
        <v>0</v>
      </c>
      <c r="K771">
        <v>0</v>
      </c>
      <c r="M771">
        <v>5</v>
      </c>
      <c r="O771">
        <v>5</v>
      </c>
      <c r="P771">
        <v>4</v>
      </c>
      <c r="Q771">
        <v>0</v>
      </c>
      <c r="R771">
        <v>24.53</v>
      </c>
      <c r="S771">
        <v>0</v>
      </c>
      <c r="T771">
        <v>0</v>
      </c>
      <c r="U771">
        <v>0</v>
      </c>
      <c r="V771">
        <v>0</v>
      </c>
      <c r="W771" t="s">
        <v>14</v>
      </c>
      <c r="X771">
        <v>24.53</v>
      </c>
    </row>
    <row r="772" spans="1:24" ht="15">
      <c r="A772">
        <v>765</v>
      </c>
      <c r="B772">
        <v>38481</v>
      </c>
      <c r="C772" t="s">
        <v>2004</v>
      </c>
      <c r="D772" t="s">
        <v>12</v>
      </c>
      <c r="E772" t="s">
        <v>360</v>
      </c>
      <c r="F772" t="str">
        <f>"00625375"</f>
        <v>00625375</v>
      </c>
      <c r="G772">
        <v>17.45</v>
      </c>
      <c r="H772">
        <v>0</v>
      </c>
      <c r="I772">
        <v>0</v>
      </c>
      <c r="J772">
        <v>0</v>
      </c>
      <c r="K772">
        <v>0</v>
      </c>
      <c r="N772">
        <v>3</v>
      </c>
      <c r="O772">
        <v>3</v>
      </c>
      <c r="P772">
        <v>4</v>
      </c>
      <c r="Q772">
        <v>0</v>
      </c>
      <c r="R772">
        <v>24.45</v>
      </c>
      <c r="S772">
        <v>0</v>
      </c>
      <c r="T772">
        <v>0</v>
      </c>
      <c r="U772">
        <v>0</v>
      </c>
      <c r="V772">
        <v>0</v>
      </c>
      <c r="W772" t="s">
        <v>14</v>
      </c>
      <c r="X772">
        <v>24.45</v>
      </c>
    </row>
    <row r="773" spans="1:24" ht="15">
      <c r="A773">
        <v>766</v>
      </c>
      <c r="B773">
        <v>104061</v>
      </c>
      <c r="C773" t="s">
        <v>2005</v>
      </c>
      <c r="D773" t="s">
        <v>23</v>
      </c>
      <c r="E773" t="s">
        <v>53</v>
      </c>
      <c r="F773" t="str">
        <f>"00155652"</f>
        <v>00155652</v>
      </c>
      <c r="G773">
        <v>17.43</v>
      </c>
      <c r="H773">
        <v>0</v>
      </c>
      <c r="I773">
        <v>0</v>
      </c>
      <c r="J773">
        <v>0</v>
      </c>
      <c r="K773">
        <v>0</v>
      </c>
      <c r="N773">
        <v>3</v>
      </c>
      <c r="O773">
        <v>3</v>
      </c>
      <c r="P773">
        <v>4</v>
      </c>
      <c r="Q773">
        <v>0</v>
      </c>
      <c r="R773">
        <v>24.43</v>
      </c>
      <c r="S773">
        <v>0</v>
      </c>
      <c r="T773">
        <v>0</v>
      </c>
      <c r="U773">
        <v>0</v>
      </c>
      <c r="V773">
        <v>0</v>
      </c>
      <c r="W773" t="s">
        <v>14</v>
      </c>
      <c r="X773">
        <v>24.43</v>
      </c>
    </row>
    <row r="774" spans="1:24" ht="15">
      <c r="A774">
        <v>767</v>
      </c>
      <c r="B774">
        <v>92931</v>
      </c>
      <c r="C774" t="s">
        <v>2007</v>
      </c>
      <c r="D774" t="s">
        <v>175</v>
      </c>
      <c r="E774" t="s">
        <v>17</v>
      </c>
      <c r="F774" t="str">
        <f>"00325981"</f>
        <v>00325981</v>
      </c>
      <c r="G774">
        <v>17.4</v>
      </c>
      <c r="H774">
        <v>0</v>
      </c>
      <c r="I774">
        <v>0</v>
      </c>
      <c r="J774">
        <v>0</v>
      </c>
      <c r="K774">
        <v>0</v>
      </c>
      <c r="N774">
        <v>3</v>
      </c>
      <c r="O774">
        <v>3</v>
      </c>
      <c r="P774">
        <v>4</v>
      </c>
      <c r="Q774">
        <v>0</v>
      </c>
      <c r="R774">
        <v>24.4</v>
      </c>
      <c r="S774">
        <v>0</v>
      </c>
      <c r="T774">
        <v>0</v>
      </c>
      <c r="U774">
        <v>0</v>
      </c>
      <c r="V774">
        <v>0</v>
      </c>
      <c r="W774" t="s">
        <v>14</v>
      </c>
      <c r="X774">
        <v>24.4</v>
      </c>
    </row>
    <row r="775" spans="1:24" ht="15">
      <c r="A775">
        <v>768</v>
      </c>
      <c r="B775">
        <v>5016</v>
      </c>
      <c r="C775" t="s">
        <v>2008</v>
      </c>
      <c r="D775" t="s">
        <v>2009</v>
      </c>
      <c r="E775" t="s">
        <v>273</v>
      </c>
      <c r="F775" t="str">
        <f>"00559203"</f>
        <v>00559203</v>
      </c>
      <c r="G775">
        <v>17.4</v>
      </c>
      <c r="H775">
        <v>0</v>
      </c>
      <c r="I775">
        <v>0</v>
      </c>
      <c r="J775">
        <v>0</v>
      </c>
      <c r="K775">
        <v>0</v>
      </c>
      <c r="N775">
        <v>3</v>
      </c>
      <c r="O775">
        <v>3</v>
      </c>
      <c r="P775">
        <v>4</v>
      </c>
      <c r="Q775">
        <v>0</v>
      </c>
      <c r="R775">
        <v>24.4</v>
      </c>
      <c r="S775">
        <v>0</v>
      </c>
      <c r="T775">
        <v>0</v>
      </c>
      <c r="U775">
        <v>0</v>
      </c>
      <c r="V775">
        <v>0</v>
      </c>
      <c r="W775" t="s">
        <v>14</v>
      </c>
      <c r="X775">
        <v>24.4</v>
      </c>
    </row>
    <row r="776" spans="1:24" ht="15">
      <c r="A776">
        <v>769</v>
      </c>
      <c r="B776">
        <v>82721</v>
      </c>
      <c r="C776" t="s">
        <v>2010</v>
      </c>
      <c r="D776" t="s">
        <v>27</v>
      </c>
      <c r="E776" t="s">
        <v>114</v>
      </c>
      <c r="F776" t="str">
        <f>"00337856"</f>
        <v>00337856</v>
      </c>
      <c r="G776">
        <v>17.35</v>
      </c>
      <c r="H776">
        <v>0</v>
      </c>
      <c r="I776">
        <v>0</v>
      </c>
      <c r="J776">
        <v>0</v>
      </c>
      <c r="K776">
        <v>0</v>
      </c>
      <c r="N776">
        <v>3</v>
      </c>
      <c r="O776">
        <v>3</v>
      </c>
      <c r="P776">
        <v>4</v>
      </c>
      <c r="Q776">
        <v>0</v>
      </c>
      <c r="R776">
        <v>24.35</v>
      </c>
      <c r="S776">
        <v>0</v>
      </c>
      <c r="T776">
        <v>0</v>
      </c>
      <c r="U776">
        <v>0</v>
      </c>
      <c r="V776">
        <v>0</v>
      </c>
      <c r="W776" t="s">
        <v>14</v>
      </c>
      <c r="X776">
        <v>24.35</v>
      </c>
    </row>
    <row r="777" spans="1:24" ht="15">
      <c r="A777">
        <v>770</v>
      </c>
      <c r="B777">
        <v>32441</v>
      </c>
      <c r="C777" t="s">
        <v>2013</v>
      </c>
      <c r="D777" t="s">
        <v>253</v>
      </c>
      <c r="E777" t="s">
        <v>120</v>
      </c>
      <c r="F777" t="str">
        <f>"00424802"</f>
        <v>00424802</v>
      </c>
      <c r="G777">
        <v>15.25</v>
      </c>
      <c r="H777">
        <v>0</v>
      </c>
      <c r="I777">
        <v>0</v>
      </c>
      <c r="J777">
        <v>0</v>
      </c>
      <c r="K777">
        <v>0</v>
      </c>
      <c r="N777">
        <v>3</v>
      </c>
      <c r="O777">
        <v>3</v>
      </c>
      <c r="P777">
        <v>4</v>
      </c>
      <c r="Q777">
        <v>2</v>
      </c>
      <c r="R777">
        <v>24.25</v>
      </c>
      <c r="S777">
        <v>0</v>
      </c>
      <c r="T777">
        <v>0</v>
      </c>
      <c r="U777">
        <v>0</v>
      </c>
      <c r="V777">
        <v>0</v>
      </c>
      <c r="W777" t="s">
        <v>14</v>
      </c>
      <c r="X777">
        <v>24.25</v>
      </c>
    </row>
    <row r="778" spans="1:24" ht="15">
      <c r="A778">
        <v>771</v>
      </c>
      <c r="B778">
        <v>84189</v>
      </c>
      <c r="C778" t="s">
        <v>2014</v>
      </c>
      <c r="D778" t="s">
        <v>16</v>
      </c>
      <c r="E778" t="s">
        <v>27</v>
      </c>
      <c r="F778" t="str">
        <f>"00641453"</f>
        <v>00641453</v>
      </c>
      <c r="G778">
        <v>17.23</v>
      </c>
      <c r="H778">
        <v>0</v>
      </c>
      <c r="I778">
        <v>0</v>
      </c>
      <c r="J778">
        <v>0</v>
      </c>
      <c r="K778">
        <v>0</v>
      </c>
      <c r="N778">
        <v>3</v>
      </c>
      <c r="O778">
        <v>3</v>
      </c>
      <c r="P778">
        <v>4</v>
      </c>
      <c r="Q778">
        <v>0</v>
      </c>
      <c r="R778">
        <v>24.23</v>
      </c>
      <c r="S778">
        <v>0</v>
      </c>
      <c r="T778">
        <v>0</v>
      </c>
      <c r="U778">
        <v>0</v>
      </c>
      <c r="V778">
        <v>0</v>
      </c>
      <c r="W778" t="s">
        <v>14</v>
      </c>
      <c r="X778">
        <v>24.23</v>
      </c>
    </row>
    <row r="779" spans="1:24" ht="15">
      <c r="A779">
        <v>772</v>
      </c>
      <c r="B779">
        <v>94859</v>
      </c>
      <c r="C779" t="s">
        <v>2016</v>
      </c>
      <c r="D779" t="s">
        <v>29</v>
      </c>
      <c r="E779" t="s">
        <v>297</v>
      </c>
      <c r="F779" t="str">
        <f>"201406006560"</f>
        <v>201406006560</v>
      </c>
      <c r="G779">
        <v>17.18</v>
      </c>
      <c r="H779">
        <v>0</v>
      </c>
      <c r="I779">
        <v>0</v>
      </c>
      <c r="J779">
        <v>0</v>
      </c>
      <c r="K779">
        <v>0</v>
      </c>
      <c r="N779">
        <v>3</v>
      </c>
      <c r="O779">
        <v>3</v>
      </c>
      <c r="P779">
        <v>4</v>
      </c>
      <c r="Q779">
        <v>0</v>
      </c>
      <c r="R779">
        <v>24.18</v>
      </c>
      <c r="S779">
        <v>0</v>
      </c>
      <c r="T779">
        <v>0</v>
      </c>
      <c r="U779">
        <v>0</v>
      </c>
      <c r="V779">
        <v>0</v>
      </c>
      <c r="W779" t="s">
        <v>14</v>
      </c>
      <c r="X779">
        <v>24.18</v>
      </c>
    </row>
    <row r="780" spans="1:24" ht="15">
      <c r="A780">
        <v>773</v>
      </c>
      <c r="B780">
        <v>21263</v>
      </c>
      <c r="C780" t="s">
        <v>2017</v>
      </c>
      <c r="D780" t="s">
        <v>258</v>
      </c>
      <c r="E780" t="s">
        <v>27</v>
      </c>
      <c r="F780" t="str">
        <f>"00568146"</f>
        <v>00568146</v>
      </c>
      <c r="G780">
        <v>17.15</v>
      </c>
      <c r="H780">
        <v>0</v>
      </c>
      <c r="I780">
        <v>0</v>
      </c>
      <c r="J780">
        <v>0</v>
      </c>
      <c r="K780">
        <v>0</v>
      </c>
      <c r="N780">
        <v>3</v>
      </c>
      <c r="O780">
        <v>3</v>
      </c>
      <c r="P780">
        <v>4</v>
      </c>
      <c r="Q780">
        <v>0</v>
      </c>
      <c r="R780">
        <v>24.15</v>
      </c>
      <c r="S780">
        <v>0</v>
      </c>
      <c r="T780">
        <v>0</v>
      </c>
      <c r="U780">
        <v>0</v>
      </c>
      <c r="V780">
        <v>0</v>
      </c>
      <c r="W780" t="s">
        <v>14</v>
      </c>
      <c r="X780">
        <v>24.15</v>
      </c>
    </row>
    <row r="781" spans="1:24" ht="15">
      <c r="A781">
        <v>774</v>
      </c>
      <c r="B781">
        <v>97607</v>
      </c>
      <c r="C781" t="s">
        <v>2018</v>
      </c>
      <c r="D781" t="s">
        <v>12</v>
      </c>
      <c r="E781" t="s">
        <v>111</v>
      </c>
      <c r="F781" t="str">
        <f>"201511021636"</f>
        <v>201511021636</v>
      </c>
      <c r="G781">
        <v>15.15</v>
      </c>
      <c r="H781">
        <v>0</v>
      </c>
      <c r="I781">
        <v>0</v>
      </c>
      <c r="J781">
        <v>0</v>
      </c>
      <c r="K781">
        <v>0</v>
      </c>
      <c r="M781">
        <v>5</v>
      </c>
      <c r="O781">
        <v>5</v>
      </c>
      <c r="P781">
        <v>4</v>
      </c>
      <c r="Q781">
        <v>0</v>
      </c>
      <c r="R781">
        <v>24.15</v>
      </c>
      <c r="S781">
        <v>0</v>
      </c>
      <c r="T781">
        <v>0</v>
      </c>
      <c r="U781">
        <v>0</v>
      </c>
      <c r="V781">
        <v>0</v>
      </c>
      <c r="W781" t="s">
        <v>14</v>
      </c>
      <c r="X781">
        <v>24.15</v>
      </c>
    </row>
    <row r="782" spans="1:24" ht="15">
      <c r="A782">
        <v>775</v>
      </c>
      <c r="B782">
        <v>64997</v>
      </c>
      <c r="C782" t="s">
        <v>2019</v>
      </c>
      <c r="D782" t="s">
        <v>2020</v>
      </c>
      <c r="E782" t="s">
        <v>17</v>
      </c>
      <c r="F782" t="str">
        <f>"201406007173"</f>
        <v>201406007173</v>
      </c>
      <c r="G782">
        <v>17.13</v>
      </c>
      <c r="H782">
        <v>0</v>
      </c>
      <c r="I782">
        <v>0</v>
      </c>
      <c r="J782">
        <v>0</v>
      </c>
      <c r="K782">
        <v>0</v>
      </c>
      <c r="N782">
        <v>3</v>
      </c>
      <c r="O782">
        <v>3</v>
      </c>
      <c r="P782">
        <v>4</v>
      </c>
      <c r="Q782">
        <v>0</v>
      </c>
      <c r="R782">
        <v>24.13</v>
      </c>
      <c r="S782">
        <v>0</v>
      </c>
      <c r="T782">
        <v>0</v>
      </c>
      <c r="U782">
        <v>0</v>
      </c>
      <c r="V782">
        <v>0</v>
      </c>
      <c r="W782" t="s">
        <v>14</v>
      </c>
      <c r="X782">
        <v>24.13</v>
      </c>
    </row>
    <row r="783" spans="1:24" ht="15">
      <c r="A783">
        <v>776</v>
      </c>
      <c r="B783">
        <v>102781</v>
      </c>
      <c r="C783" t="s">
        <v>2021</v>
      </c>
      <c r="D783" t="s">
        <v>2022</v>
      </c>
      <c r="E783" t="s">
        <v>135</v>
      </c>
      <c r="F783" t="str">
        <f>"00466946"</f>
        <v>00466946</v>
      </c>
      <c r="G783">
        <v>17.1</v>
      </c>
      <c r="H783">
        <v>0</v>
      </c>
      <c r="I783">
        <v>0</v>
      </c>
      <c r="J783">
        <v>0</v>
      </c>
      <c r="K783">
        <v>0</v>
      </c>
      <c r="N783">
        <v>3</v>
      </c>
      <c r="O783">
        <v>3</v>
      </c>
      <c r="P783">
        <v>4</v>
      </c>
      <c r="Q783">
        <v>0</v>
      </c>
      <c r="R783">
        <v>24.1</v>
      </c>
      <c r="S783">
        <v>0</v>
      </c>
      <c r="T783">
        <v>0</v>
      </c>
      <c r="U783">
        <v>0</v>
      </c>
      <c r="V783">
        <v>0</v>
      </c>
      <c r="W783" t="s">
        <v>14</v>
      </c>
      <c r="X783">
        <v>24.1</v>
      </c>
    </row>
    <row r="784" spans="1:24" ht="15">
      <c r="A784">
        <v>777</v>
      </c>
      <c r="B784">
        <v>21771</v>
      </c>
      <c r="C784" t="s">
        <v>767</v>
      </c>
      <c r="D784" t="s">
        <v>442</v>
      </c>
      <c r="E784" t="s">
        <v>669</v>
      </c>
      <c r="F784" t="str">
        <f>"00598663"</f>
        <v>00598663</v>
      </c>
      <c r="G784">
        <v>17.1</v>
      </c>
      <c r="H784">
        <v>0</v>
      </c>
      <c r="I784">
        <v>0</v>
      </c>
      <c r="J784">
        <v>0</v>
      </c>
      <c r="K784">
        <v>0</v>
      </c>
      <c r="N784">
        <v>3</v>
      </c>
      <c r="O784">
        <v>3</v>
      </c>
      <c r="P784">
        <v>4</v>
      </c>
      <c r="Q784">
        <v>0</v>
      </c>
      <c r="R784">
        <v>24.1</v>
      </c>
      <c r="S784">
        <v>0</v>
      </c>
      <c r="T784">
        <v>0</v>
      </c>
      <c r="U784">
        <v>0</v>
      </c>
      <c r="V784">
        <v>0</v>
      </c>
      <c r="W784" t="s">
        <v>14</v>
      </c>
      <c r="X784">
        <v>24.1</v>
      </c>
    </row>
    <row r="785" spans="1:24" ht="15">
      <c r="A785">
        <v>778</v>
      </c>
      <c r="B785">
        <v>14512</v>
      </c>
      <c r="C785" t="s">
        <v>2026</v>
      </c>
      <c r="D785" t="s">
        <v>30</v>
      </c>
      <c r="E785" t="s">
        <v>27</v>
      </c>
      <c r="F785" t="str">
        <f>"00270272"</f>
        <v>00270272</v>
      </c>
      <c r="G785">
        <v>17.08</v>
      </c>
      <c r="H785">
        <v>0</v>
      </c>
      <c r="I785">
        <v>0</v>
      </c>
      <c r="J785">
        <v>0</v>
      </c>
      <c r="K785">
        <v>0</v>
      </c>
      <c r="N785">
        <v>3</v>
      </c>
      <c r="O785">
        <v>3</v>
      </c>
      <c r="P785">
        <v>4</v>
      </c>
      <c r="Q785">
        <v>0</v>
      </c>
      <c r="R785">
        <v>24.08</v>
      </c>
      <c r="S785">
        <v>0</v>
      </c>
      <c r="T785">
        <v>0</v>
      </c>
      <c r="U785">
        <v>0</v>
      </c>
      <c r="V785">
        <v>0</v>
      </c>
      <c r="W785" t="s">
        <v>14</v>
      </c>
      <c r="X785">
        <v>24.08</v>
      </c>
    </row>
    <row r="786" spans="1:24" ht="15">
      <c r="A786">
        <v>779</v>
      </c>
      <c r="B786">
        <v>15885</v>
      </c>
      <c r="C786" t="s">
        <v>2027</v>
      </c>
      <c r="D786" t="s">
        <v>37</v>
      </c>
      <c r="E786" t="s">
        <v>2028</v>
      </c>
      <c r="F786" t="str">
        <f>"201511026163"</f>
        <v>201511026163</v>
      </c>
      <c r="G786">
        <v>17.05</v>
      </c>
      <c r="H786">
        <v>0</v>
      </c>
      <c r="I786">
        <v>0</v>
      </c>
      <c r="J786">
        <v>0</v>
      </c>
      <c r="K786">
        <v>0</v>
      </c>
      <c r="N786">
        <v>3</v>
      </c>
      <c r="O786">
        <v>3</v>
      </c>
      <c r="P786">
        <v>4</v>
      </c>
      <c r="Q786">
        <v>0</v>
      </c>
      <c r="R786">
        <v>24.05</v>
      </c>
      <c r="S786">
        <v>0</v>
      </c>
      <c r="T786">
        <v>0</v>
      </c>
      <c r="U786">
        <v>0</v>
      </c>
      <c r="V786">
        <v>0</v>
      </c>
      <c r="W786" t="s">
        <v>14</v>
      </c>
      <c r="X786">
        <v>24.05</v>
      </c>
    </row>
    <row r="787" spans="1:24" ht="15">
      <c r="A787">
        <v>780</v>
      </c>
      <c r="B787">
        <v>5578</v>
      </c>
      <c r="C787" t="s">
        <v>2031</v>
      </c>
      <c r="D787" t="s">
        <v>252</v>
      </c>
      <c r="E787" t="s">
        <v>30</v>
      </c>
      <c r="F787" t="str">
        <f>"201604001352"</f>
        <v>201604001352</v>
      </c>
      <c r="G787">
        <v>17.03</v>
      </c>
      <c r="H787">
        <v>0</v>
      </c>
      <c r="I787">
        <v>0</v>
      </c>
      <c r="J787">
        <v>0</v>
      </c>
      <c r="K787">
        <v>0</v>
      </c>
      <c r="L787">
        <v>7</v>
      </c>
      <c r="O787">
        <v>7</v>
      </c>
      <c r="P787">
        <v>0</v>
      </c>
      <c r="Q787">
        <v>0</v>
      </c>
      <c r="R787">
        <v>24.03</v>
      </c>
      <c r="S787">
        <v>0</v>
      </c>
      <c r="T787">
        <v>0</v>
      </c>
      <c r="U787">
        <v>0</v>
      </c>
      <c r="V787">
        <v>0</v>
      </c>
      <c r="W787" t="s">
        <v>14</v>
      </c>
      <c r="X787">
        <v>24.03</v>
      </c>
    </row>
    <row r="788" spans="1:24" ht="15">
      <c r="A788">
        <v>781</v>
      </c>
      <c r="B788">
        <v>1912</v>
      </c>
      <c r="C788" t="s">
        <v>2032</v>
      </c>
      <c r="D788" t="s">
        <v>746</v>
      </c>
      <c r="E788" t="s">
        <v>53</v>
      </c>
      <c r="F788" t="str">
        <f>"00198547"</f>
        <v>00198547</v>
      </c>
      <c r="G788">
        <v>17</v>
      </c>
      <c r="H788">
        <v>0</v>
      </c>
      <c r="I788">
        <v>0</v>
      </c>
      <c r="J788">
        <v>0</v>
      </c>
      <c r="K788">
        <v>0</v>
      </c>
      <c r="N788">
        <v>3</v>
      </c>
      <c r="O788">
        <v>3</v>
      </c>
      <c r="P788">
        <v>4</v>
      </c>
      <c r="Q788">
        <v>0</v>
      </c>
      <c r="R788">
        <v>24</v>
      </c>
      <c r="S788">
        <v>0</v>
      </c>
      <c r="T788">
        <v>0</v>
      </c>
      <c r="U788">
        <v>0</v>
      </c>
      <c r="V788">
        <v>0</v>
      </c>
      <c r="W788" t="s">
        <v>14</v>
      </c>
      <c r="X788">
        <v>24</v>
      </c>
    </row>
    <row r="789" spans="1:24" ht="15">
      <c r="A789">
        <v>782</v>
      </c>
      <c r="B789">
        <v>72680</v>
      </c>
      <c r="C789" t="s">
        <v>753</v>
      </c>
      <c r="D789" t="s">
        <v>109</v>
      </c>
      <c r="E789" t="s">
        <v>124</v>
      </c>
      <c r="F789" t="str">
        <f>"00218191"</f>
        <v>00218191</v>
      </c>
      <c r="G789">
        <v>16.98</v>
      </c>
      <c r="H789">
        <v>0</v>
      </c>
      <c r="I789">
        <v>0</v>
      </c>
      <c r="J789">
        <v>0</v>
      </c>
      <c r="K789">
        <v>0</v>
      </c>
      <c r="N789">
        <v>3</v>
      </c>
      <c r="O789">
        <v>3</v>
      </c>
      <c r="P789">
        <v>4</v>
      </c>
      <c r="Q789">
        <v>0</v>
      </c>
      <c r="R789">
        <v>23.98</v>
      </c>
      <c r="S789">
        <v>0</v>
      </c>
      <c r="T789">
        <v>0</v>
      </c>
      <c r="U789">
        <v>0</v>
      </c>
      <c r="V789">
        <v>0</v>
      </c>
      <c r="W789" t="s">
        <v>14</v>
      </c>
      <c r="X789">
        <v>23.98</v>
      </c>
    </row>
    <row r="790" spans="1:24" ht="15">
      <c r="A790">
        <v>783</v>
      </c>
      <c r="B790">
        <v>34182</v>
      </c>
      <c r="C790" t="s">
        <v>2037</v>
      </c>
      <c r="D790" t="s">
        <v>1289</v>
      </c>
      <c r="E790" t="s">
        <v>327</v>
      </c>
      <c r="F790" t="str">
        <f>"00569996"</f>
        <v>00569996</v>
      </c>
      <c r="G790">
        <v>16.93</v>
      </c>
      <c r="H790">
        <v>0</v>
      </c>
      <c r="I790">
        <v>0</v>
      </c>
      <c r="J790">
        <v>0</v>
      </c>
      <c r="K790">
        <v>0</v>
      </c>
      <c r="N790">
        <v>3</v>
      </c>
      <c r="O790">
        <v>3</v>
      </c>
      <c r="P790">
        <v>4</v>
      </c>
      <c r="Q790">
        <v>0</v>
      </c>
      <c r="R790">
        <v>23.93</v>
      </c>
      <c r="S790">
        <v>0</v>
      </c>
      <c r="T790">
        <v>0</v>
      </c>
      <c r="U790">
        <v>0</v>
      </c>
      <c r="V790">
        <v>0</v>
      </c>
      <c r="W790" t="s">
        <v>14</v>
      </c>
      <c r="X790">
        <v>23.93</v>
      </c>
    </row>
    <row r="791" spans="1:24" ht="15">
      <c r="A791">
        <v>784</v>
      </c>
      <c r="B791">
        <v>75997</v>
      </c>
      <c r="C791" t="s">
        <v>2039</v>
      </c>
      <c r="D791" t="s">
        <v>153</v>
      </c>
      <c r="E791" t="s">
        <v>53</v>
      </c>
      <c r="F791" t="str">
        <f>"00633596"</f>
        <v>00633596</v>
      </c>
      <c r="G791">
        <v>16.83</v>
      </c>
      <c r="H791">
        <v>0</v>
      </c>
      <c r="I791">
        <v>0</v>
      </c>
      <c r="J791">
        <v>0</v>
      </c>
      <c r="K791">
        <v>0</v>
      </c>
      <c r="N791">
        <v>3</v>
      </c>
      <c r="O791">
        <v>3</v>
      </c>
      <c r="P791">
        <v>4</v>
      </c>
      <c r="Q791">
        <v>0</v>
      </c>
      <c r="R791">
        <v>23.83</v>
      </c>
      <c r="S791">
        <v>0</v>
      </c>
      <c r="T791">
        <v>0</v>
      </c>
      <c r="U791">
        <v>0</v>
      </c>
      <c r="V791">
        <v>0</v>
      </c>
      <c r="W791" t="s">
        <v>14</v>
      </c>
      <c r="X791">
        <v>23.83</v>
      </c>
    </row>
    <row r="792" spans="1:24" ht="15">
      <c r="A792">
        <v>785</v>
      </c>
      <c r="B792">
        <v>91858</v>
      </c>
      <c r="C792" t="s">
        <v>2041</v>
      </c>
      <c r="D792" t="s">
        <v>370</v>
      </c>
      <c r="E792" t="s">
        <v>27</v>
      </c>
      <c r="F792" t="str">
        <f>"00475362"</f>
        <v>00475362</v>
      </c>
      <c r="G792">
        <v>16.8</v>
      </c>
      <c r="H792">
        <v>0</v>
      </c>
      <c r="I792">
        <v>0</v>
      </c>
      <c r="J792">
        <v>0</v>
      </c>
      <c r="K792">
        <v>0</v>
      </c>
      <c r="N792">
        <v>3</v>
      </c>
      <c r="O792">
        <v>3</v>
      </c>
      <c r="P792">
        <v>4</v>
      </c>
      <c r="Q792">
        <v>0</v>
      </c>
      <c r="R792">
        <v>23.8</v>
      </c>
      <c r="S792">
        <v>0</v>
      </c>
      <c r="T792">
        <v>0</v>
      </c>
      <c r="U792">
        <v>0</v>
      </c>
      <c r="V792">
        <v>0</v>
      </c>
      <c r="W792" t="s">
        <v>14</v>
      </c>
      <c r="X792">
        <v>23.8</v>
      </c>
    </row>
    <row r="793" spans="1:24" ht="15">
      <c r="A793">
        <v>786</v>
      </c>
      <c r="B793">
        <v>17963</v>
      </c>
      <c r="C793" t="s">
        <v>595</v>
      </c>
      <c r="D793" t="s">
        <v>37</v>
      </c>
      <c r="E793" t="s">
        <v>30</v>
      </c>
      <c r="F793" t="str">
        <f>"201410006180"</f>
        <v>201410006180</v>
      </c>
      <c r="G793">
        <v>16.8</v>
      </c>
      <c r="H793">
        <v>0</v>
      </c>
      <c r="I793">
        <v>0</v>
      </c>
      <c r="J793">
        <v>0</v>
      </c>
      <c r="K793">
        <v>0</v>
      </c>
      <c r="N793">
        <v>3</v>
      </c>
      <c r="O793">
        <v>3</v>
      </c>
      <c r="P793">
        <v>4</v>
      </c>
      <c r="Q793">
        <v>0</v>
      </c>
      <c r="R793">
        <v>23.8</v>
      </c>
      <c r="S793">
        <v>0</v>
      </c>
      <c r="T793">
        <v>0</v>
      </c>
      <c r="U793">
        <v>0</v>
      </c>
      <c r="V793">
        <v>0</v>
      </c>
      <c r="W793" t="s">
        <v>14</v>
      </c>
      <c r="X793">
        <v>23.8</v>
      </c>
    </row>
    <row r="794" spans="1:24" ht="15">
      <c r="A794">
        <v>787</v>
      </c>
      <c r="B794">
        <v>41917</v>
      </c>
      <c r="C794" t="s">
        <v>2043</v>
      </c>
      <c r="D794" t="s">
        <v>873</v>
      </c>
      <c r="E794" t="s">
        <v>23</v>
      </c>
      <c r="F794" t="str">
        <f>"00342277"</f>
        <v>00342277</v>
      </c>
      <c r="G794">
        <v>16.75</v>
      </c>
      <c r="H794">
        <v>0</v>
      </c>
      <c r="I794">
        <v>0</v>
      </c>
      <c r="J794">
        <v>0</v>
      </c>
      <c r="K794">
        <v>0</v>
      </c>
      <c r="O794">
        <v>0</v>
      </c>
      <c r="P794">
        <v>4</v>
      </c>
      <c r="Q794">
        <v>0</v>
      </c>
      <c r="R794">
        <v>20.75</v>
      </c>
      <c r="S794">
        <v>0</v>
      </c>
      <c r="T794">
        <v>0</v>
      </c>
      <c r="U794">
        <v>3</v>
      </c>
      <c r="V794">
        <v>0</v>
      </c>
      <c r="W794" t="s">
        <v>14</v>
      </c>
      <c r="X794">
        <v>23.75</v>
      </c>
    </row>
    <row r="795" spans="1:24" ht="15">
      <c r="A795">
        <v>788</v>
      </c>
      <c r="B795">
        <v>30635</v>
      </c>
      <c r="C795" t="s">
        <v>2044</v>
      </c>
      <c r="D795" t="s">
        <v>27</v>
      </c>
      <c r="E795" t="s">
        <v>12</v>
      </c>
      <c r="F795" t="str">
        <f>"00604570"</f>
        <v>00604570</v>
      </c>
      <c r="G795">
        <v>16.75</v>
      </c>
      <c r="H795">
        <v>0</v>
      </c>
      <c r="I795">
        <v>0</v>
      </c>
      <c r="J795">
        <v>0</v>
      </c>
      <c r="K795">
        <v>0</v>
      </c>
      <c r="N795">
        <v>3</v>
      </c>
      <c r="O795">
        <v>3</v>
      </c>
      <c r="P795">
        <v>4</v>
      </c>
      <c r="Q795">
        <v>0</v>
      </c>
      <c r="R795">
        <v>23.75</v>
      </c>
      <c r="S795">
        <v>0</v>
      </c>
      <c r="T795">
        <v>0</v>
      </c>
      <c r="U795">
        <v>0</v>
      </c>
      <c r="V795">
        <v>0</v>
      </c>
      <c r="W795" t="s">
        <v>14</v>
      </c>
      <c r="X795">
        <v>23.75</v>
      </c>
    </row>
    <row r="796" spans="1:24" ht="15">
      <c r="A796">
        <v>789</v>
      </c>
      <c r="B796">
        <v>86781</v>
      </c>
      <c r="C796" t="s">
        <v>2046</v>
      </c>
      <c r="D796" t="s">
        <v>12</v>
      </c>
      <c r="E796" t="s">
        <v>61</v>
      </c>
      <c r="F796" t="str">
        <f>"201507004006"</f>
        <v>201507004006</v>
      </c>
      <c r="G796">
        <v>14.75</v>
      </c>
      <c r="H796">
        <v>0</v>
      </c>
      <c r="I796">
        <v>0</v>
      </c>
      <c r="J796">
        <v>0</v>
      </c>
      <c r="K796">
        <v>0</v>
      </c>
      <c r="N796">
        <v>3</v>
      </c>
      <c r="O796">
        <v>3</v>
      </c>
      <c r="P796">
        <v>4</v>
      </c>
      <c r="Q796">
        <v>2</v>
      </c>
      <c r="R796">
        <v>23.75</v>
      </c>
      <c r="S796">
        <v>0</v>
      </c>
      <c r="T796">
        <v>0</v>
      </c>
      <c r="U796">
        <v>0</v>
      </c>
      <c r="V796">
        <v>0</v>
      </c>
      <c r="W796" t="s">
        <v>14</v>
      </c>
      <c r="X796">
        <v>23.75</v>
      </c>
    </row>
    <row r="797" spans="1:24" ht="15">
      <c r="A797">
        <v>790</v>
      </c>
      <c r="B797">
        <v>98219</v>
      </c>
      <c r="C797" t="s">
        <v>2047</v>
      </c>
      <c r="D797" t="s">
        <v>2048</v>
      </c>
      <c r="E797" t="s">
        <v>12</v>
      </c>
      <c r="F797" t="str">
        <f>"200801006499"</f>
        <v>200801006499</v>
      </c>
      <c r="G797">
        <v>16.73</v>
      </c>
      <c r="H797">
        <v>0</v>
      </c>
      <c r="I797">
        <v>0</v>
      </c>
      <c r="J797">
        <v>0</v>
      </c>
      <c r="K797">
        <v>0</v>
      </c>
      <c r="O797">
        <v>0</v>
      </c>
      <c r="P797">
        <v>4</v>
      </c>
      <c r="Q797">
        <v>0</v>
      </c>
      <c r="R797">
        <v>20.73</v>
      </c>
      <c r="S797">
        <v>0</v>
      </c>
      <c r="T797">
        <v>0</v>
      </c>
      <c r="U797">
        <v>3</v>
      </c>
      <c r="V797">
        <v>0</v>
      </c>
      <c r="W797" t="s">
        <v>14</v>
      </c>
      <c r="X797">
        <v>23.73</v>
      </c>
    </row>
    <row r="798" spans="1:24" ht="15">
      <c r="A798">
        <v>791</v>
      </c>
      <c r="B798">
        <v>11414</v>
      </c>
      <c r="C798" t="s">
        <v>2049</v>
      </c>
      <c r="D798" t="s">
        <v>46</v>
      </c>
      <c r="E798" t="s">
        <v>17</v>
      </c>
      <c r="F798" t="str">
        <f>"00601580"</f>
        <v>00601580</v>
      </c>
      <c r="G798">
        <v>19.73</v>
      </c>
      <c r="H798">
        <v>0</v>
      </c>
      <c r="I798">
        <v>0</v>
      </c>
      <c r="J798">
        <v>0</v>
      </c>
      <c r="K798">
        <v>0</v>
      </c>
      <c r="O798">
        <v>0</v>
      </c>
      <c r="P798">
        <v>4</v>
      </c>
      <c r="Q798">
        <v>0</v>
      </c>
      <c r="R798">
        <v>23.73</v>
      </c>
      <c r="S798">
        <v>0</v>
      </c>
      <c r="T798">
        <v>0</v>
      </c>
      <c r="U798">
        <v>0</v>
      </c>
      <c r="V798">
        <v>0</v>
      </c>
      <c r="W798" t="s">
        <v>14</v>
      </c>
      <c r="X798">
        <v>23.73</v>
      </c>
    </row>
    <row r="799" spans="1:24" ht="15">
      <c r="A799">
        <v>792</v>
      </c>
      <c r="B799">
        <v>4172</v>
      </c>
      <c r="C799" t="s">
        <v>2051</v>
      </c>
      <c r="D799" t="s">
        <v>173</v>
      </c>
      <c r="E799" t="s">
        <v>215</v>
      </c>
      <c r="F799" t="str">
        <f>"00613139"</f>
        <v>00613139</v>
      </c>
      <c r="G799">
        <v>20.7</v>
      </c>
      <c r="H799">
        <v>0</v>
      </c>
      <c r="I799">
        <v>0</v>
      </c>
      <c r="J799">
        <v>0</v>
      </c>
      <c r="K799">
        <v>0</v>
      </c>
      <c r="N799">
        <v>3</v>
      </c>
      <c r="O799">
        <v>3</v>
      </c>
      <c r="P799">
        <v>0</v>
      </c>
      <c r="Q799">
        <v>0</v>
      </c>
      <c r="R799">
        <v>23.7</v>
      </c>
      <c r="S799">
        <v>0</v>
      </c>
      <c r="T799">
        <v>0</v>
      </c>
      <c r="U799">
        <v>0</v>
      </c>
      <c r="V799">
        <v>0</v>
      </c>
      <c r="W799" t="s">
        <v>14</v>
      </c>
      <c r="X799">
        <v>23.7</v>
      </c>
    </row>
    <row r="800" spans="1:24" ht="15">
      <c r="A800">
        <v>793</v>
      </c>
      <c r="B800">
        <v>104056</v>
      </c>
      <c r="C800" t="s">
        <v>2052</v>
      </c>
      <c r="D800" t="s">
        <v>12</v>
      </c>
      <c r="E800" t="s">
        <v>21</v>
      </c>
      <c r="F800" t="str">
        <f>"00431414"</f>
        <v>00431414</v>
      </c>
      <c r="G800">
        <v>16.7</v>
      </c>
      <c r="H800">
        <v>0</v>
      </c>
      <c r="I800">
        <v>0</v>
      </c>
      <c r="J800">
        <v>0</v>
      </c>
      <c r="K800">
        <v>0</v>
      </c>
      <c r="N800">
        <v>3</v>
      </c>
      <c r="O800">
        <v>3</v>
      </c>
      <c r="P800">
        <v>4</v>
      </c>
      <c r="Q800">
        <v>0</v>
      </c>
      <c r="R800">
        <v>23.7</v>
      </c>
      <c r="S800">
        <v>0</v>
      </c>
      <c r="T800">
        <v>0</v>
      </c>
      <c r="U800">
        <v>0</v>
      </c>
      <c r="V800">
        <v>0</v>
      </c>
      <c r="W800" t="s">
        <v>14</v>
      </c>
      <c r="X800">
        <v>23.7</v>
      </c>
    </row>
    <row r="801" spans="1:24" ht="15">
      <c r="A801">
        <v>794</v>
      </c>
      <c r="B801">
        <v>45418</v>
      </c>
      <c r="C801" t="s">
        <v>2053</v>
      </c>
      <c r="D801" t="s">
        <v>124</v>
      </c>
      <c r="E801" t="s">
        <v>288</v>
      </c>
      <c r="F801" t="str">
        <f>"00334355"</f>
        <v>00334355</v>
      </c>
      <c r="G801">
        <v>16.65</v>
      </c>
      <c r="H801">
        <v>0</v>
      </c>
      <c r="I801">
        <v>0</v>
      </c>
      <c r="J801">
        <v>0</v>
      </c>
      <c r="K801">
        <v>0</v>
      </c>
      <c r="N801">
        <v>3</v>
      </c>
      <c r="O801">
        <v>3</v>
      </c>
      <c r="P801">
        <v>4</v>
      </c>
      <c r="Q801">
        <v>0</v>
      </c>
      <c r="R801">
        <v>23.65</v>
      </c>
      <c r="S801">
        <v>0</v>
      </c>
      <c r="T801">
        <v>0</v>
      </c>
      <c r="U801">
        <v>0</v>
      </c>
      <c r="V801">
        <v>0</v>
      </c>
      <c r="W801" t="s">
        <v>14</v>
      </c>
      <c r="X801">
        <v>23.65</v>
      </c>
    </row>
    <row r="802" spans="1:24" ht="15">
      <c r="A802">
        <v>795</v>
      </c>
      <c r="B802">
        <v>113427</v>
      </c>
      <c r="C802" t="s">
        <v>2054</v>
      </c>
      <c r="D802" t="s">
        <v>20</v>
      </c>
      <c r="E802" t="s">
        <v>177</v>
      </c>
      <c r="F802" t="str">
        <f>"201512001275"</f>
        <v>201512001275</v>
      </c>
      <c r="G802">
        <v>16.65</v>
      </c>
      <c r="H802">
        <v>0</v>
      </c>
      <c r="I802">
        <v>0</v>
      </c>
      <c r="J802">
        <v>0</v>
      </c>
      <c r="K802">
        <v>0</v>
      </c>
      <c r="N802">
        <v>3</v>
      </c>
      <c r="O802">
        <v>3</v>
      </c>
      <c r="P802">
        <v>4</v>
      </c>
      <c r="Q802">
        <v>0</v>
      </c>
      <c r="R802">
        <v>23.65</v>
      </c>
      <c r="S802">
        <v>0</v>
      </c>
      <c r="T802">
        <v>0</v>
      </c>
      <c r="U802">
        <v>0</v>
      </c>
      <c r="V802">
        <v>0</v>
      </c>
      <c r="W802" t="s">
        <v>14</v>
      </c>
      <c r="X802">
        <v>23.65</v>
      </c>
    </row>
    <row r="803" spans="1:24" ht="15">
      <c r="A803">
        <v>796</v>
      </c>
      <c r="B803">
        <v>109118</v>
      </c>
      <c r="C803" t="s">
        <v>2056</v>
      </c>
      <c r="D803" t="s">
        <v>1490</v>
      </c>
      <c r="E803" t="s">
        <v>177</v>
      </c>
      <c r="F803" t="str">
        <f>"00637342"</f>
        <v>00637342</v>
      </c>
      <c r="G803">
        <v>16.63</v>
      </c>
      <c r="H803">
        <v>0</v>
      </c>
      <c r="I803">
        <v>0</v>
      </c>
      <c r="J803">
        <v>0</v>
      </c>
      <c r="K803">
        <v>0</v>
      </c>
      <c r="N803">
        <v>3</v>
      </c>
      <c r="O803">
        <v>3</v>
      </c>
      <c r="P803">
        <v>4</v>
      </c>
      <c r="Q803">
        <v>0</v>
      </c>
      <c r="R803">
        <v>23.63</v>
      </c>
      <c r="S803">
        <v>0</v>
      </c>
      <c r="T803">
        <v>0</v>
      </c>
      <c r="U803">
        <v>0</v>
      </c>
      <c r="V803">
        <v>0</v>
      </c>
      <c r="W803" t="s">
        <v>14</v>
      </c>
      <c r="X803">
        <v>23.63</v>
      </c>
    </row>
    <row r="804" spans="1:24" ht="15">
      <c r="A804">
        <v>797</v>
      </c>
      <c r="B804">
        <v>83418</v>
      </c>
      <c r="C804" t="s">
        <v>2057</v>
      </c>
      <c r="D804" t="s">
        <v>97</v>
      </c>
      <c r="E804" t="s">
        <v>106</v>
      </c>
      <c r="F804" t="str">
        <f>"00209929"</f>
        <v>00209929</v>
      </c>
      <c r="G804">
        <v>16.6</v>
      </c>
      <c r="H804">
        <v>0</v>
      </c>
      <c r="I804">
        <v>0</v>
      </c>
      <c r="J804">
        <v>0</v>
      </c>
      <c r="K804">
        <v>0</v>
      </c>
      <c r="N804">
        <v>3</v>
      </c>
      <c r="O804">
        <v>3</v>
      </c>
      <c r="P804">
        <v>4</v>
      </c>
      <c r="Q804">
        <v>0</v>
      </c>
      <c r="R804">
        <v>23.6</v>
      </c>
      <c r="S804">
        <v>0</v>
      </c>
      <c r="T804">
        <v>0</v>
      </c>
      <c r="U804">
        <v>0</v>
      </c>
      <c r="V804">
        <v>0</v>
      </c>
      <c r="W804" t="s">
        <v>14</v>
      </c>
      <c r="X804">
        <v>23.6</v>
      </c>
    </row>
    <row r="805" spans="1:24" ht="15">
      <c r="A805">
        <v>798</v>
      </c>
      <c r="B805">
        <v>60043</v>
      </c>
      <c r="C805" t="s">
        <v>2058</v>
      </c>
      <c r="D805" t="s">
        <v>91</v>
      </c>
      <c r="E805" t="s">
        <v>21</v>
      </c>
      <c r="F805" t="str">
        <f>"00622081"</f>
        <v>00622081</v>
      </c>
      <c r="G805">
        <v>16.58</v>
      </c>
      <c r="H805">
        <v>0</v>
      </c>
      <c r="I805">
        <v>0</v>
      </c>
      <c r="J805">
        <v>0</v>
      </c>
      <c r="K805">
        <v>0</v>
      </c>
      <c r="N805">
        <v>3</v>
      </c>
      <c r="O805">
        <v>3</v>
      </c>
      <c r="P805">
        <v>4</v>
      </c>
      <c r="Q805">
        <v>0</v>
      </c>
      <c r="R805">
        <v>23.58</v>
      </c>
      <c r="S805">
        <v>0</v>
      </c>
      <c r="T805">
        <v>0</v>
      </c>
      <c r="U805">
        <v>0</v>
      </c>
      <c r="V805">
        <v>0</v>
      </c>
      <c r="W805" t="s">
        <v>14</v>
      </c>
      <c r="X805">
        <v>23.58</v>
      </c>
    </row>
    <row r="806" spans="1:24" ht="15">
      <c r="A806">
        <v>799</v>
      </c>
      <c r="B806">
        <v>107452</v>
      </c>
      <c r="C806" t="s">
        <v>1419</v>
      </c>
      <c r="D806" t="s">
        <v>109</v>
      </c>
      <c r="E806" t="s">
        <v>44</v>
      </c>
      <c r="F806" t="str">
        <f>"00236543"</f>
        <v>00236543</v>
      </c>
      <c r="G806">
        <v>16.58</v>
      </c>
      <c r="H806">
        <v>0</v>
      </c>
      <c r="I806">
        <v>0</v>
      </c>
      <c r="J806">
        <v>0</v>
      </c>
      <c r="K806">
        <v>0</v>
      </c>
      <c r="N806">
        <v>3</v>
      </c>
      <c r="O806">
        <v>3</v>
      </c>
      <c r="P806">
        <v>4</v>
      </c>
      <c r="Q806">
        <v>0</v>
      </c>
      <c r="R806">
        <v>23.58</v>
      </c>
      <c r="S806">
        <v>0</v>
      </c>
      <c r="T806">
        <v>0</v>
      </c>
      <c r="U806">
        <v>0</v>
      </c>
      <c r="V806">
        <v>0</v>
      </c>
      <c r="W806" t="s">
        <v>14</v>
      </c>
      <c r="X806">
        <v>23.58</v>
      </c>
    </row>
    <row r="807" spans="1:24" ht="15">
      <c r="A807">
        <v>800</v>
      </c>
      <c r="B807">
        <v>45863</v>
      </c>
      <c r="C807" t="s">
        <v>2059</v>
      </c>
      <c r="D807" t="s">
        <v>80</v>
      </c>
      <c r="E807" t="s">
        <v>27</v>
      </c>
      <c r="F807" t="str">
        <f>"00619648"</f>
        <v>00619648</v>
      </c>
      <c r="G807">
        <v>16.58</v>
      </c>
      <c r="H807">
        <v>0</v>
      </c>
      <c r="I807">
        <v>0</v>
      </c>
      <c r="J807">
        <v>0</v>
      </c>
      <c r="K807">
        <v>0</v>
      </c>
      <c r="N807">
        <v>3</v>
      </c>
      <c r="O807">
        <v>3</v>
      </c>
      <c r="P807">
        <v>4</v>
      </c>
      <c r="Q807">
        <v>0</v>
      </c>
      <c r="R807">
        <v>23.58</v>
      </c>
      <c r="S807">
        <v>0</v>
      </c>
      <c r="T807">
        <v>0</v>
      </c>
      <c r="U807">
        <v>0</v>
      </c>
      <c r="V807">
        <v>0</v>
      </c>
      <c r="W807" t="s">
        <v>14</v>
      </c>
      <c r="X807">
        <v>23.58</v>
      </c>
    </row>
    <row r="808" spans="1:24" ht="15">
      <c r="A808">
        <v>801</v>
      </c>
      <c r="B808">
        <v>47723</v>
      </c>
      <c r="C808" t="s">
        <v>2060</v>
      </c>
      <c r="D808" t="s">
        <v>186</v>
      </c>
      <c r="E808" t="s">
        <v>106</v>
      </c>
      <c r="F808" t="str">
        <f>"00621226"</f>
        <v>00621226</v>
      </c>
      <c r="G808">
        <v>16.58</v>
      </c>
      <c r="H808">
        <v>0</v>
      </c>
      <c r="I808">
        <v>0</v>
      </c>
      <c r="J808">
        <v>0</v>
      </c>
      <c r="K808">
        <v>0</v>
      </c>
      <c r="N808">
        <v>3</v>
      </c>
      <c r="O808">
        <v>3</v>
      </c>
      <c r="P808">
        <v>4</v>
      </c>
      <c r="Q808">
        <v>0</v>
      </c>
      <c r="R808">
        <v>23.58</v>
      </c>
      <c r="S808">
        <v>0</v>
      </c>
      <c r="T808">
        <v>0</v>
      </c>
      <c r="U808">
        <v>0</v>
      </c>
      <c r="V808">
        <v>0</v>
      </c>
      <c r="W808" t="s">
        <v>14</v>
      </c>
      <c r="X808">
        <v>23.58</v>
      </c>
    </row>
    <row r="809" spans="1:24" ht="15">
      <c r="A809">
        <v>802</v>
      </c>
      <c r="B809">
        <v>73754</v>
      </c>
      <c r="C809" t="s">
        <v>2061</v>
      </c>
      <c r="D809" t="s">
        <v>638</v>
      </c>
      <c r="E809" t="s">
        <v>1124</v>
      </c>
      <c r="F809" t="str">
        <f>"00437049"</f>
        <v>00437049</v>
      </c>
      <c r="G809">
        <v>16.55</v>
      </c>
      <c r="H809">
        <v>0</v>
      </c>
      <c r="I809">
        <v>0</v>
      </c>
      <c r="J809">
        <v>0</v>
      </c>
      <c r="K809">
        <v>0</v>
      </c>
      <c r="O809">
        <v>0</v>
      </c>
      <c r="P809">
        <v>4</v>
      </c>
      <c r="Q809">
        <v>0</v>
      </c>
      <c r="R809">
        <v>20.55</v>
      </c>
      <c r="S809">
        <v>0</v>
      </c>
      <c r="T809">
        <v>0</v>
      </c>
      <c r="U809">
        <v>3</v>
      </c>
      <c r="V809">
        <v>0</v>
      </c>
      <c r="W809" t="s">
        <v>14</v>
      </c>
      <c r="X809">
        <v>23.55</v>
      </c>
    </row>
    <row r="810" spans="1:24" ht="15">
      <c r="A810">
        <v>803</v>
      </c>
      <c r="B810">
        <v>105916</v>
      </c>
      <c r="C810" t="s">
        <v>2064</v>
      </c>
      <c r="D810" t="s">
        <v>513</v>
      </c>
      <c r="E810" t="s">
        <v>21</v>
      </c>
      <c r="F810" t="str">
        <f>"00197027"</f>
        <v>00197027</v>
      </c>
      <c r="G810">
        <v>16.53</v>
      </c>
      <c r="H810">
        <v>0</v>
      </c>
      <c r="I810">
        <v>0</v>
      </c>
      <c r="J810">
        <v>0</v>
      </c>
      <c r="K810">
        <v>0</v>
      </c>
      <c r="O810">
        <v>0</v>
      </c>
      <c r="P810">
        <v>4</v>
      </c>
      <c r="Q810">
        <v>0</v>
      </c>
      <c r="R810">
        <v>20.53</v>
      </c>
      <c r="S810">
        <v>0</v>
      </c>
      <c r="T810">
        <v>0</v>
      </c>
      <c r="U810">
        <v>3</v>
      </c>
      <c r="V810">
        <v>0</v>
      </c>
      <c r="W810" t="s">
        <v>14</v>
      </c>
      <c r="X810">
        <v>23.53</v>
      </c>
    </row>
    <row r="811" spans="1:24" ht="15">
      <c r="A811">
        <v>804</v>
      </c>
      <c r="B811">
        <v>35177</v>
      </c>
      <c r="C811" t="s">
        <v>2066</v>
      </c>
      <c r="D811" t="s">
        <v>370</v>
      </c>
      <c r="E811" t="s">
        <v>2067</v>
      </c>
      <c r="F811" t="str">
        <f>"201510003356"</f>
        <v>201510003356</v>
      </c>
      <c r="G811">
        <v>14.5</v>
      </c>
      <c r="H811">
        <v>0</v>
      </c>
      <c r="I811">
        <v>0</v>
      </c>
      <c r="J811">
        <v>0</v>
      </c>
      <c r="K811">
        <v>0</v>
      </c>
      <c r="O811">
        <v>0</v>
      </c>
      <c r="P811">
        <v>4</v>
      </c>
      <c r="Q811">
        <v>2</v>
      </c>
      <c r="R811">
        <v>20.5</v>
      </c>
      <c r="S811">
        <v>0</v>
      </c>
      <c r="T811">
        <v>0</v>
      </c>
      <c r="U811">
        <v>3</v>
      </c>
      <c r="V811">
        <v>0</v>
      </c>
      <c r="W811" t="s">
        <v>14</v>
      </c>
      <c r="X811">
        <v>23.5</v>
      </c>
    </row>
    <row r="812" spans="1:24" ht="15">
      <c r="A812">
        <v>805</v>
      </c>
      <c r="B812">
        <v>110438</v>
      </c>
      <c r="C812" t="s">
        <v>2068</v>
      </c>
      <c r="D812" t="s">
        <v>2069</v>
      </c>
      <c r="E812" t="s">
        <v>465</v>
      </c>
      <c r="F812" t="str">
        <f>"00425744"</f>
        <v>00425744</v>
      </c>
      <c r="G812">
        <v>16.5</v>
      </c>
      <c r="H812">
        <v>0</v>
      </c>
      <c r="I812">
        <v>0</v>
      </c>
      <c r="J812">
        <v>0</v>
      </c>
      <c r="K812">
        <v>0</v>
      </c>
      <c r="N812">
        <v>3</v>
      </c>
      <c r="O812">
        <v>3</v>
      </c>
      <c r="P812">
        <v>4</v>
      </c>
      <c r="Q812">
        <v>0</v>
      </c>
      <c r="R812">
        <v>23.5</v>
      </c>
      <c r="S812">
        <v>0</v>
      </c>
      <c r="T812">
        <v>0</v>
      </c>
      <c r="U812">
        <v>0</v>
      </c>
      <c r="V812">
        <v>0</v>
      </c>
      <c r="W812" t="s">
        <v>14</v>
      </c>
      <c r="X812">
        <v>23.5</v>
      </c>
    </row>
    <row r="813" spans="1:24" ht="15">
      <c r="A813">
        <v>806</v>
      </c>
      <c r="B813">
        <v>81982</v>
      </c>
      <c r="C813" t="s">
        <v>2072</v>
      </c>
      <c r="D813" t="s">
        <v>2073</v>
      </c>
      <c r="E813" t="s">
        <v>53</v>
      </c>
      <c r="F813" t="str">
        <f>"00642274"</f>
        <v>00642274</v>
      </c>
      <c r="G813">
        <v>19.43</v>
      </c>
      <c r="H813">
        <v>0</v>
      </c>
      <c r="I813">
        <v>0</v>
      </c>
      <c r="J813">
        <v>0</v>
      </c>
      <c r="K813">
        <v>0</v>
      </c>
      <c r="O813">
        <v>0</v>
      </c>
      <c r="P813">
        <v>4</v>
      </c>
      <c r="Q813">
        <v>0</v>
      </c>
      <c r="R813">
        <v>23.43</v>
      </c>
      <c r="S813">
        <v>0</v>
      </c>
      <c r="T813">
        <v>0</v>
      </c>
      <c r="U813">
        <v>0</v>
      </c>
      <c r="V813">
        <v>0</v>
      </c>
      <c r="W813" t="s">
        <v>14</v>
      </c>
      <c r="X813">
        <v>23.43</v>
      </c>
    </row>
    <row r="814" spans="1:24" ht="15">
      <c r="A814">
        <v>807</v>
      </c>
      <c r="B814">
        <v>111218</v>
      </c>
      <c r="C814" t="s">
        <v>2074</v>
      </c>
      <c r="D814" t="s">
        <v>37</v>
      </c>
      <c r="E814" t="s">
        <v>80</v>
      </c>
      <c r="F814" t="str">
        <f>"00473594"</f>
        <v>00473594</v>
      </c>
      <c r="G814">
        <v>19.43</v>
      </c>
      <c r="H814">
        <v>0</v>
      </c>
      <c r="I814">
        <v>0</v>
      </c>
      <c r="J814">
        <v>0</v>
      </c>
      <c r="K814">
        <v>0</v>
      </c>
      <c r="O814">
        <v>0</v>
      </c>
      <c r="P814">
        <v>4</v>
      </c>
      <c r="Q814">
        <v>0</v>
      </c>
      <c r="R814">
        <v>23.43</v>
      </c>
      <c r="S814">
        <v>0</v>
      </c>
      <c r="T814">
        <v>0</v>
      </c>
      <c r="U814">
        <v>0</v>
      </c>
      <c r="V814">
        <v>0</v>
      </c>
      <c r="W814" t="s">
        <v>14</v>
      </c>
      <c r="X814">
        <v>23.43</v>
      </c>
    </row>
    <row r="815" spans="1:24" ht="15">
      <c r="A815">
        <v>808</v>
      </c>
      <c r="B815">
        <v>107440</v>
      </c>
      <c r="C815" t="s">
        <v>144</v>
      </c>
      <c r="D815" t="s">
        <v>17</v>
      </c>
      <c r="E815" t="s">
        <v>30</v>
      </c>
      <c r="F815" t="str">
        <f>"00638526"</f>
        <v>00638526</v>
      </c>
      <c r="G815">
        <v>16.4</v>
      </c>
      <c r="H815">
        <v>0</v>
      </c>
      <c r="I815">
        <v>0</v>
      </c>
      <c r="J815">
        <v>0</v>
      </c>
      <c r="K815">
        <v>0</v>
      </c>
      <c r="N815">
        <v>3</v>
      </c>
      <c r="O815">
        <v>3</v>
      </c>
      <c r="P815">
        <v>4</v>
      </c>
      <c r="Q815">
        <v>0</v>
      </c>
      <c r="R815">
        <v>23.4</v>
      </c>
      <c r="S815">
        <v>0</v>
      </c>
      <c r="T815">
        <v>0</v>
      </c>
      <c r="U815">
        <v>0</v>
      </c>
      <c r="V815">
        <v>0</v>
      </c>
      <c r="W815" t="s">
        <v>14</v>
      </c>
      <c r="X815">
        <v>23.4</v>
      </c>
    </row>
    <row r="816" spans="1:24" ht="15">
      <c r="A816">
        <v>809</v>
      </c>
      <c r="B816">
        <v>39253</v>
      </c>
      <c r="C816" t="s">
        <v>1380</v>
      </c>
      <c r="D816" t="s">
        <v>53</v>
      </c>
      <c r="E816" t="s">
        <v>12</v>
      </c>
      <c r="F816" t="str">
        <f>"00446109"</f>
        <v>00446109</v>
      </c>
      <c r="G816">
        <v>16.4</v>
      </c>
      <c r="H816">
        <v>0</v>
      </c>
      <c r="I816">
        <v>0</v>
      </c>
      <c r="J816">
        <v>0</v>
      </c>
      <c r="K816">
        <v>0</v>
      </c>
      <c r="N816">
        <v>3</v>
      </c>
      <c r="O816">
        <v>3</v>
      </c>
      <c r="P816">
        <v>4</v>
      </c>
      <c r="Q816">
        <v>0</v>
      </c>
      <c r="R816">
        <v>23.4</v>
      </c>
      <c r="S816">
        <v>0</v>
      </c>
      <c r="T816">
        <v>0</v>
      </c>
      <c r="U816">
        <v>0</v>
      </c>
      <c r="V816">
        <v>0</v>
      </c>
      <c r="W816" t="s">
        <v>14</v>
      </c>
      <c r="X816">
        <v>23.4</v>
      </c>
    </row>
    <row r="817" spans="1:24" ht="15">
      <c r="A817">
        <v>810</v>
      </c>
      <c r="B817">
        <v>10305</v>
      </c>
      <c r="C817" t="s">
        <v>2076</v>
      </c>
      <c r="D817" t="s">
        <v>16</v>
      </c>
      <c r="E817" t="s">
        <v>27</v>
      </c>
      <c r="F817" t="str">
        <f>"00591187"</f>
        <v>00591187</v>
      </c>
      <c r="G817">
        <v>16.33</v>
      </c>
      <c r="H817">
        <v>0</v>
      </c>
      <c r="I817">
        <v>0</v>
      </c>
      <c r="J817">
        <v>0</v>
      </c>
      <c r="K817">
        <v>0</v>
      </c>
      <c r="N817">
        <v>3</v>
      </c>
      <c r="O817">
        <v>3</v>
      </c>
      <c r="P817">
        <v>4</v>
      </c>
      <c r="Q817">
        <v>0</v>
      </c>
      <c r="R817">
        <v>23.33</v>
      </c>
      <c r="S817">
        <v>0</v>
      </c>
      <c r="T817">
        <v>0</v>
      </c>
      <c r="U817">
        <v>0</v>
      </c>
      <c r="V817">
        <v>0</v>
      </c>
      <c r="W817" t="s">
        <v>14</v>
      </c>
      <c r="X817">
        <v>23.33</v>
      </c>
    </row>
    <row r="818" spans="1:24" ht="15">
      <c r="A818">
        <v>811</v>
      </c>
      <c r="B818">
        <v>103293</v>
      </c>
      <c r="C818" t="s">
        <v>2077</v>
      </c>
      <c r="D818" t="s">
        <v>465</v>
      </c>
      <c r="E818" t="s">
        <v>17</v>
      </c>
      <c r="F818" t="str">
        <f>"00367452"</f>
        <v>00367452</v>
      </c>
      <c r="G818">
        <v>16.33</v>
      </c>
      <c r="H818">
        <v>0</v>
      </c>
      <c r="I818">
        <v>0</v>
      </c>
      <c r="J818">
        <v>0</v>
      </c>
      <c r="K818">
        <v>0</v>
      </c>
      <c r="N818">
        <v>3</v>
      </c>
      <c r="O818">
        <v>3</v>
      </c>
      <c r="P818">
        <v>4</v>
      </c>
      <c r="Q818">
        <v>0</v>
      </c>
      <c r="R818">
        <v>23.33</v>
      </c>
      <c r="S818">
        <v>0</v>
      </c>
      <c r="T818">
        <v>0</v>
      </c>
      <c r="U818">
        <v>0</v>
      </c>
      <c r="V818">
        <v>0</v>
      </c>
      <c r="W818" t="s">
        <v>14</v>
      </c>
      <c r="X818">
        <v>23.33</v>
      </c>
    </row>
    <row r="819" spans="1:24" ht="15">
      <c r="A819">
        <v>812</v>
      </c>
      <c r="B819">
        <v>50263</v>
      </c>
      <c r="C819" t="s">
        <v>2078</v>
      </c>
      <c r="D819" t="s">
        <v>29</v>
      </c>
      <c r="E819" t="s">
        <v>27</v>
      </c>
      <c r="F819" t="str">
        <f>"00324929"</f>
        <v>00324929</v>
      </c>
      <c r="G819">
        <v>16.33</v>
      </c>
      <c r="H819">
        <v>0</v>
      </c>
      <c r="I819">
        <v>0</v>
      </c>
      <c r="J819">
        <v>0</v>
      </c>
      <c r="K819">
        <v>0</v>
      </c>
      <c r="N819">
        <v>3</v>
      </c>
      <c r="O819">
        <v>3</v>
      </c>
      <c r="P819">
        <v>4</v>
      </c>
      <c r="Q819">
        <v>0</v>
      </c>
      <c r="R819">
        <v>23.33</v>
      </c>
      <c r="S819">
        <v>0</v>
      </c>
      <c r="T819">
        <v>0</v>
      </c>
      <c r="U819">
        <v>0</v>
      </c>
      <c r="V819">
        <v>0</v>
      </c>
      <c r="W819" t="s">
        <v>14</v>
      </c>
      <c r="X819">
        <v>23.33</v>
      </c>
    </row>
    <row r="820" spans="1:24" ht="15">
      <c r="A820">
        <v>813</v>
      </c>
      <c r="B820">
        <v>95949</v>
      </c>
      <c r="C820" t="s">
        <v>2079</v>
      </c>
      <c r="D820" t="s">
        <v>21</v>
      </c>
      <c r="E820" t="s">
        <v>30</v>
      </c>
      <c r="F820" t="str">
        <f>"00359694"</f>
        <v>00359694</v>
      </c>
      <c r="G820">
        <v>16.33</v>
      </c>
      <c r="H820">
        <v>0</v>
      </c>
      <c r="I820">
        <v>0</v>
      </c>
      <c r="J820">
        <v>0</v>
      </c>
      <c r="K820">
        <v>0</v>
      </c>
      <c r="N820">
        <v>3</v>
      </c>
      <c r="O820">
        <v>3</v>
      </c>
      <c r="P820">
        <v>4</v>
      </c>
      <c r="Q820">
        <v>0</v>
      </c>
      <c r="R820">
        <v>23.33</v>
      </c>
      <c r="S820">
        <v>0</v>
      </c>
      <c r="T820">
        <v>0</v>
      </c>
      <c r="U820">
        <v>0</v>
      </c>
      <c r="V820">
        <v>0</v>
      </c>
      <c r="W820" t="s">
        <v>14</v>
      </c>
      <c r="X820">
        <v>23.33</v>
      </c>
    </row>
    <row r="821" spans="1:24" ht="15">
      <c r="A821">
        <v>814</v>
      </c>
      <c r="B821">
        <v>80650</v>
      </c>
      <c r="C821" t="s">
        <v>2081</v>
      </c>
      <c r="D821" t="s">
        <v>281</v>
      </c>
      <c r="E821" t="s">
        <v>30</v>
      </c>
      <c r="F821" t="str">
        <f>"00251387"</f>
        <v>00251387</v>
      </c>
      <c r="G821">
        <v>16.28</v>
      </c>
      <c r="H821">
        <v>0</v>
      </c>
      <c r="I821">
        <v>0</v>
      </c>
      <c r="J821">
        <v>0</v>
      </c>
      <c r="K821">
        <v>0</v>
      </c>
      <c r="N821">
        <v>3</v>
      </c>
      <c r="O821">
        <v>3</v>
      </c>
      <c r="P821">
        <v>4</v>
      </c>
      <c r="Q821">
        <v>0</v>
      </c>
      <c r="R821">
        <v>23.28</v>
      </c>
      <c r="S821">
        <v>0</v>
      </c>
      <c r="T821">
        <v>0</v>
      </c>
      <c r="U821">
        <v>0</v>
      </c>
      <c r="V821">
        <v>0</v>
      </c>
      <c r="W821" t="s">
        <v>14</v>
      </c>
      <c r="X821">
        <v>23.28</v>
      </c>
    </row>
    <row r="822" spans="1:24" ht="15">
      <c r="A822">
        <v>815</v>
      </c>
      <c r="B822">
        <v>100725</v>
      </c>
      <c r="C822" t="s">
        <v>2082</v>
      </c>
      <c r="D822" t="s">
        <v>349</v>
      </c>
      <c r="E822" t="s">
        <v>2083</v>
      </c>
      <c r="F822" t="str">
        <f>"00546100"</f>
        <v>00546100</v>
      </c>
      <c r="G822">
        <v>16.25</v>
      </c>
      <c r="H822">
        <v>0</v>
      </c>
      <c r="I822">
        <v>0</v>
      </c>
      <c r="J822">
        <v>0</v>
      </c>
      <c r="K822">
        <v>0</v>
      </c>
      <c r="O822">
        <v>0</v>
      </c>
      <c r="P822">
        <v>4</v>
      </c>
      <c r="Q822">
        <v>0</v>
      </c>
      <c r="R822">
        <v>20.25</v>
      </c>
      <c r="S822">
        <v>0</v>
      </c>
      <c r="T822">
        <v>0</v>
      </c>
      <c r="U822">
        <v>3</v>
      </c>
      <c r="V822">
        <v>0</v>
      </c>
      <c r="W822" t="s">
        <v>14</v>
      </c>
      <c r="X822">
        <v>23.25</v>
      </c>
    </row>
    <row r="823" spans="1:24" ht="15">
      <c r="A823">
        <v>816</v>
      </c>
      <c r="B823">
        <v>104891</v>
      </c>
      <c r="C823" t="s">
        <v>2084</v>
      </c>
      <c r="D823" t="s">
        <v>2085</v>
      </c>
      <c r="E823" t="s">
        <v>135</v>
      </c>
      <c r="F823" t="str">
        <f>"00642501"</f>
        <v>00642501</v>
      </c>
      <c r="G823">
        <v>17.25</v>
      </c>
      <c r="H823">
        <v>0</v>
      </c>
      <c r="I823">
        <v>0</v>
      </c>
      <c r="J823">
        <v>0</v>
      </c>
      <c r="K823">
        <v>0</v>
      </c>
      <c r="N823">
        <v>6</v>
      </c>
      <c r="O823">
        <v>6</v>
      </c>
      <c r="P823">
        <v>0</v>
      </c>
      <c r="Q823">
        <v>0</v>
      </c>
      <c r="R823">
        <v>23.25</v>
      </c>
      <c r="S823">
        <v>0</v>
      </c>
      <c r="T823">
        <v>0</v>
      </c>
      <c r="U823">
        <v>0</v>
      </c>
      <c r="V823">
        <v>0</v>
      </c>
      <c r="W823" t="s">
        <v>14</v>
      </c>
      <c r="X823">
        <v>23.25</v>
      </c>
    </row>
    <row r="824" spans="1:24" ht="15">
      <c r="A824">
        <v>817</v>
      </c>
      <c r="B824">
        <v>113233</v>
      </c>
      <c r="C824" t="s">
        <v>2086</v>
      </c>
      <c r="D824" t="s">
        <v>439</v>
      </c>
      <c r="E824" t="s">
        <v>21</v>
      </c>
      <c r="F824" t="str">
        <f>"00152995"</f>
        <v>00152995</v>
      </c>
      <c r="G824">
        <v>17.25</v>
      </c>
      <c r="H824">
        <v>0</v>
      </c>
      <c r="I824">
        <v>0</v>
      </c>
      <c r="J824">
        <v>0</v>
      </c>
      <c r="K824">
        <v>0</v>
      </c>
      <c r="O824">
        <v>0</v>
      </c>
      <c r="P824">
        <v>4</v>
      </c>
      <c r="Q824">
        <v>2</v>
      </c>
      <c r="R824">
        <v>23.25</v>
      </c>
      <c r="S824">
        <v>0</v>
      </c>
      <c r="T824">
        <v>0</v>
      </c>
      <c r="U824">
        <v>0</v>
      </c>
      <c r="V824">
        <v>0</v>
      </c>
      <c r="W824" t="s">
        <v>14</v>
      </c>
      <c r="X824">
        <v>23.25</v>
      </c>
    </row>
    <row r="825" spans="1:24" ht="15">
      <c r="A825">
        <v>818</v>
      </c>
      <c r="B825">
        <v>62815</v>
      </c>
      <c r="C825" t="s">
        <v>1216</v>
      </c>
      <c r="D825" t="s">
        <v>29</v>
      </c>
      <c r="E825" t="s">
        <v>113</v>
      </c>
      <c r="F825" t="str">
        <f>"00619937"</f>
        <v>00619937</v>
      </c>
      <c r="G825">
        <v>19.23</v>
      </c>
      <c r="H825">
        <v>0</v>
      </c>
      <c r="I825">
        <v>0</v>
      </c>
      <c r="J825">
        <v>0</v>
      </c>
      <c r="K825">
        <v>0</v>
      </c>
      <c r="O825">
        <v>0</v>
      </c>
      <c r="P825">
        <v>4</v>
      </c>
      <c r="Q825">
        <v>0</v>
      </c>
      <c r="R825">
        <v>23.23</v>
      </c>
      <c r="S825">
        <v>0</v>
      </c>
      <c r="T825">
        <v>0</v>
      </c>
      <c r="U825">
        <v>0</v>
      </c>
      <c r="V825">
        <v>0</v>
      </c>
      <c r="W825" t="s">
        <v>14</v>
      </c>
      <c r="X825">
        <v>23.23</v>
      </c>
    </row>
    <row r="826" spans="1:24" ht="15">
      <c r="A826">
        <v>819</v>
      </c>
      <c r="B826">
        <v>39827</v>
      </c>
      <c r="C826" t="s">
        <v>2088</v>
      </c>
      <c r="D826" t="s">
        <v>153</v>
      </c>
      <c r="E826" t="s">
        <v>201</v>
      </c>
      <c r="F826" t="str">
        <f>"00352345"</f>
        <v>00352345</v>
      </c>
      <c r="G826">
        <v>16.23</v>
      </c>
      <c r="H826">
        <v>0</v>
      </c>
      <c r="I826">
        <v>0</v>
      </c>
      <c r="J826">
        <v>0</v>
      </c>
      <c r="K826">
        <v>0</v>
      </c>
      <c r="N826">
        <v>3</v>
      </c>
      <c r="O826">
        <v>3</v>
      </c>
      <c r="P826">
        <v>4</v>
      </c>
      <c r="Q826">
        <v>0</v>
      </c>
      <c r="R826">
        <v>23.23</v>
      </c>
      <c r="S826">
        <v>0</v>
      </c>
      <c r="T826">
        <v>0</v>
      </c>
      <c r="U826">
        <v>0</v>
      </c>
      <c r="V826">
        <v>0</v>
      </c>
      <c r="W826" t="s">
        <v>14</v>
      </c>
      <c r="X826">
        <v>23.23</v>
      </c>
    </row>
    <row r="827" spans="1:24" ht="15">
      <c r="A827">
        <v>820</v>
      </c>
      <c r="B827">
        <v>110204</v>
      </c>
      <c r="C827" t="s">
        <v>2092</v>
      </c>
      <c r="D827" t="s">
        <v>17</v>
      </c>
      <c r="E827" t="s">
        <v>27</v>
      </c>
      <c r="F827" t="str">
        <f>"00648828"</f>
        <v>00648828</v>
      </c>
      <c r="G827">
        <v>16.15</v>
      </c>
      <c r="H827">
        <v>0</v>
      </c>
      <c r="I827">
        <v>0</v>
      </c>
      <c r="J827">
        <v>0</v>
      </c>
      <c r="K827">
        <v>0</v>
      </c>
      <c r="N827">
        <v>3</v>
      </c>
      <c r="O827">
        <v>3</v>
      </c>
      <c r="P827">
        <v>4</v>
      </c>
      <c r="Q827">
        <v>0</v>
      </c>
      <c r="R827">
        <v>23.15</v>
      </c>
      <c r="S827">
        <v>0</v>
      </c>
      <c r="T827">
        <v>0</v>
      </c>
      <c r="U827">
        <v>0</v>
      </c>
      <c r="V827">
        <v>0</v>
      </c>
      <c r="W827" t="s">
        <v>14</v>
      </c>
      <c r="X827">
        <v>23.15</v>
      </c>
    </row>
    <row r="828" spans="1:24" ht="15">
      <c r="A828">
        <v>821</v>
      </c>
      <c r="B828">
        <v>111297</v>
      </c>
      <c r="C828" t="s">
        <v>2093</v>
      </c>
      <c r="D828" t="s">
        <v>1243</v>
      </c>
      <c r="E828" t="s">
        <v>1965</v>
      </c>
      <c r="F828" t="str">
        <f>"201604002783"</f>
        <v>201604002783</v>
      </c>
      <c r="G828">
        <v>16.1</v>
      </c>
      <c r="H828">
        <v>0</v>
      </c>
      <c r="I828">
        <v>0</v>
      </c>
      <c r="J828">
        <v>0</v>
      </c>
      <c r="K828">
        <v>0</v>
      </c>
      <c r="O828">
        <v>0</v>
      </c>
      <c r="P828">
        <v>4</v>
      </c>
      <c r="Q828">
        <v>0</v>
      </c>
      <c r="R828">
        <v>20.1</v>
      </c>
      <c r="S828">
        <v>0</v>
      </c>
      <c r="T828">
        <v>0</v>
      </c>
      <c r="U828">
        <v>3</v>
      </c>
      <c r="V828">
        <v>0</v>
      </c>
      <c r="W828" t="s">
        <v>14</v>
      </c>
      <c r="X828">
        <v>23.1</v>
      </c>
    </row>
    <row r="829" spans="1:24" ht="15">
      <c r="A829">
        <v>822</v>
      </c>
      <c r="B829">
        <v>4662</v>
      </c>
      <c r="C829" t="s">
        <v>2094</v>
      </c>
      <c r="D829" t="s">
        <v>90</v>
      </c>
      <c r="E829" t="s">
        <v>76</v>
      </c>
      <c r="F829" t="str">
        <f>"00152055"</f>
        <v>00152055</v>
      </c>
      <c r="G829">
        <v>18.08</v>
      </c>
      <c r="H829">
        <v>0</v>
      </c>
      <c r="I829">
        <v>0</v>
      </c>
      <c r="J829">
        <v>0</v>
      </c>
      <c r="K829">
        <v>0</v>
      </c>
      <c r="N829">
        <v>3</v>
      </c>
      <c r="O829">
        <v>3</v>
      </c>
      <c r="P829">
        <v>0</v>
      </c>
      <c r="Q829">
        <v>2</v>
      </c>
      <c r="R829">
        <v>23.08</v>
      </c>
      <c r="S829">
        <v>0</v>
      </c>
      <c r="T829">
        <v>0</v>
      </c>
      <c r="U829">
        <v>0</v>
      </c>
      <c r="V829">
        <v>0</v>
      </c>
      <c r="W829" t="s">
        <v>14</v>
      </c>
      <c r="X829">
        <v>23.08</v>
      </c>
    </row>
    <row r="830" spans="1:24" ht="15">
      <c r="A830">
        <v>823</v>
      </c>
      <c r="B830">
        <v>47541</v>
      </c>
      <c r="C830" t="s">
        <v>2095</v>
      </c>
      <c r="D830" t="s">
        <v>23</v>
      </c>
      <c r="E830" t="s">
        <v>113</v>
      </c>
      <c r="F830" t="str">
        <f>"00608849"</f>
        <v>00608849</v>
      </c>
      <c r="G830">
        <v>16.08</v>
      </c>
      <c r="H830">
        <v>0</v>
      </c>
      <c r="I830">
        <v>0</v>
      </c>
      <c r="J830">
        <v>0</v>
      </c>
      <c r="K830">
        <v>0</v>
      </c>
      <c r="N830">
        <v>3</v>
      </c>
      <c r="O830">
        <v>3</v>
      </c>
      <c r="P830">
        <v>4</v>
      </c>
      <c r="Q830">
        <v>0</v>
      </c>
      <c r="R830">
        <v>23.08</v>
      </c>
      <c r="S830">
        <v>0</v>
      </c>
      <c r="T830">
        <v>0</v>
      </c>
      <c r="U830">
        <v>0</v>
      </c>
      <c r="V830">
        <v>0</v>
      </c>
      <c r="W830" t="s">
        <v>14</v>
      </c>
      <c r="X830">
        <v>23.08</v>
      </c>
    </row>
    <row r="831" spans="1:24" ht="15">
      <c r="A831">
        <v>824</v>
      </c>
      <c r="B831">
        <v>93714</v>
      </c>
      <c r="C831" t="s">
        <v>2096</v>
      </c>
      <c r="D831" t="s">
        <v>29</v>
      </c>
      <c r="E831" t="s">
        <v>27</v>
      </c>
      <c r="F831" t="str">
        <f>"00644006"</f>
        <v>00644006</v>
      </c>
      <c r="G831">
        <v>17.05</v>
      </c>
      <c r="H831">
        <v>0</v>
      </c>
      <c r="I831">
        <v>0</v>
      </c>
      <c r="J831">
        <v>0</v>
      </c>
      <c r="K831">
        <v>0</v>
      </c>
      <c r="O831">
        <v>0</v>
      </c>
      <c r="P831">
        <v>0</v>
      </c>
      <c r="Q831">
        <v>0</v>
      </c>
      <c r="R831">
        <v>17.05</v>
      </c>
      <c r="S831">
        <v>0</v>
      </c>
      <c r="T831">
        <v>0</v>
      </c>
      <c r="U831">
        <v>6</v>
      </c>
      <c r="V831">
        <v>0</v>
      </c>
      <c r="W831" t="s">
        <v>14</v>
      </c>
      <c r="X831">
        <v>23.05</v>
      </c>
    </row>
    <row r="832" spans="1:24" ht="15">
      <c r="A832">
        <v>825</v>
      </c>
      <c r="B832">
        <v>84272</v>
      </c>
      <c r="C832" t="s">
        <v>2099</v>
      </c>
      <c r="D832" t="s">
        <v>30</v>
      </c>
      <c r="E832" t="s">
        <v>120</v>
      </c>
      <c r="F832" t="str">
        <f>"00293191"</f>
        <v>00293191</v>
      </c>
      <c r="G832">
        <v>16.03</v>
      </c>
      <c r="H832">
        <v>0</v>
      </c>
      <c r="I832">
        <v>0</v>
      </c>
      <c r="J832">
        <v>0</v>
      </c>
      <c r="K832">
        <v>0</v>
      </c>
      <c r="O832">
        <v>0</v>
      </c>
      <c r="P832">
        <v>4</v>
      </c>
      <c r="Q832">
        <v>0</v>
      </c>
      <c r="R832">
        <v>20.03</v>
      </c>
      <c r="S832">
        <v>0</v>
      </c>
      <c r="T832">
        <v>0</v>
      </c>
      <c r="U832">
        <v>3</v>
      </c>
      <c r="V832">
        <v>0</v>
      </c>
      <c r="W832" t="s">
        <v>14</v>
      </c>
      <c r="X832">
        <v>23.03</v>
      </c>
    </row>
    <row r="833" spans="1:24" ht="15">
      <c r="A833">
        <v>826</v>
      </c>
      <c r="B833">
        <v>97948</v>
      </c>
      <c r="C833" t="s">
        <v>2100</v>
      </c>
      <c r="D833" t="s">
        <v>563</v>
      </c>
      <c r="E833" t="s">
        <v>27</v>
      </c>
      <c r="F833" t="str">
        <f>"00433492"</f>
        <v>00433492</v>
      </c>
      <c r="G833">
        <v>19.03</v>
      </c>
      <c r="H833">
        <v>0</v>
      </c>
      <c r="I833">
        <v>0</v>
      </c>
      <c r="J833">
        <v>0</v>
      </c>
      <c r="K833">
        <v>0</v>
      </c>
      <c r="O833">
        <v>0</v>
      </c>
      <c r="P833">
        <v>4</v>
      </c>
      <c r="Q833">
        <v>0</v>
      </c>
      <c r="R833">
        <v>23.03</v>
      </c>
      <c r="S833">
        <v>0</v>
      </c>
      <c r="T833">
        <v>0</v>
      </c>
      <c r="U833">
        <v>0</v>
      </c>
      <c r="V833">
        <v>0</v>
      </c>
      <c r="W833" t="s">
        <v>14</v>
      </c>
      <c r="X833">
        <v>23.03</v>
      </c>
    </row>
    <row r="834" spans="1:24" ht="15">
      <c r="A834">
        <v>827</v>
      </c>
      <c r="B834">
        <v>11901</v>
      </c>
      <c r="C834" t="s">
        <v>2104</v>
      </c>
      <c r="D834" t="s">
        <v>728</v>
      </c>
      <c r="E834" t="s">
        <v>139</v>
      </c>
      <c r="F834" t="str">
        <f>"00600220"</f>
        <v>00600220</v>
      </c>
      <c r="G834">
        <v>15.85</v>
      </c>
      <c r="H834">
        <v>0</v>
      </c>
      <c r="I834">
        <v>0</v>
      </c>
      <c r="J834">
        <v>0</v>
      </c>
      <c r="K834">
        <v>0</v>
      </c>
      <c r="N834">
        <v>3</v>
      </c>
      <c r="O834">
        <v>3</v>
      </c>
      <c r="P834">
        <v>4</v>
      </c>
      <c r="Q834">
        <v>0</v>
      </c>
      <c r="R834">
        <v>22.85</v>
      </c>
      <c r="S834">
        <v>0</v>
      </c>
      <c r="T834">
        <v>0</v>
      </c>
      <c r="U834">
        <v>0</v>
      </c>
      <c r="V834">
        <v>0</v>
      </c>
      <c r="W834" t="s">
        <v>14</v>
      </c>
      <c r="X834">
        <v>22.85</v>
      </c>
    </row>
    <row r="835" spans="1:24" ht="15">
      <c r="A835">
        <v>828</v>
      </c>
      <c r="B835">
        <v>49266</v>
      </c>
      <c r="C835" t="s">
        <v>651</v>
      </c>
      <c r="D835" t="s">
        <v>12</v>
      </c>
      <c r="E835" t="s">
        <v>113</v>
      </c>
      <c r="F835" t="str">
        <f>"201406014270"</f>
        <v>201406014270</v>
      </c>
      <c r="G835">
        <v>15.85</v>
      </c>
      <c r="H835">
        <v>0</v>
      </c>
      <c r="I835">
        <v>0</v>
      </c>
      <c r="J835">
        <v>0</v>
      </c>
      <c r="K835">
        <v>0</v>
      </c>
      <c r="N835">
        <v>3</v>
      </c>
      <c r="O835">
        <v>3</v>
      </c>
      <c r="P835">
        <v>4</v>
      </c>
      <c r="Q835">
        <v>0</v>
      </c>
      <c r="R835">
        <v>22.85</v>
      </c>
      <c r="S835">
        <v>0</v>
      </c>
      <c r="T835">
        <v>0</v>
      </c>
      <c r="U835">
        <v>0</v>
      </c>
      <c r="V835">
        <v>0</v>
      </c>
      <c r="W835" t="s">
        <v>14</v>
      </c>
      <c r="X835">
        <v>22.85</v>
      </c>
    </row>
    <row r="836" spans="1:24" ht="15">
      <c r="A836">
        <v>829</v>
      </c>
      <c r="B836">
        <v>72378</v>
      </c>
      <c r="C836" t="s">
        <v>2105</v>
      </c>
      <c r="D836" t="s">
        <v>29</v>
      </c>
      <c r="E836" t="s">
        <v>151</v>
      </c>
      <c r="F836" t="str">
        <f>"00620458"</f>
        <v>00620458</v>
      </c>
      <c r="G836">
        <v>15.83</v>
      </c>
      <c r="H836">
        <v>0</v>
      </c>
      <c r="I836">
        <v>0</v>
      </c>
      <c r="J836">
        <v>0</v>
      </c>
      <c r="K836">
        <v>0</v>
      </c>
      <c r="N836">
        <v>3</v>
      </c>
      <c r="O836">
        <v>3</v>
      </c>
      <c r="P836">
        <v>4</v>
      </c>
      <c r="Q836">
        <v>0</v>
      </c>
      <c r="R836">
        <v>22.83</v>
      </c>
      <c r="S836">
        <v>0</v>
      </c>
      <c r="T836">
        <v>0</v>
      </c>
      <c r="U836">
        <v>0</v>
      </c>
      <c r="V836">
        <v>0</v>
      </c>
      <c r="W836" t="s">
        <v>14</v>
      </c>
      <c r="X836">
        <v>22.83</v>
      </c>
    </row>
    <row r="837" spans="1:24" ht="15">
      <c r="A837">
        <v>830</v>
      </c>
      <c r="B837">
        <v>18790</v>
      </c>
      <c r="C837" t="s">
        <v>2106</v>
      </c>
      <c r="D837" t="s">
        <v>12</v>
      </c>
      <c r="E837" t="s">
        <v>80</v>
      </c>
      <c r="F837" t="str">
        <f>"00594827"</f>
        <v>00594827</v>
      </c>
      <c r="G837">
        <v>15.78</v>
      </c>
      <c r="H837">
        <v>0</v>
      </c>
      <c r="I837">
        <v>0</v>
      </c>
      <c r="J837">
        <v>0</v>
      </c>
      <c r="K837">
        <v>0</v>
      </c>
      <c r="N837">
        <v>3</v>
      </c>
      <c r="O837">
        <v>3</v>
      </c>
      <c r="P837">
        <v>4</v>
      </c>
      <c r="Q837">
        <v>0</v>
      </c>
      <c r="R837">
        <v>22.78</v>
      </c>
      <c r="S837">
        <v>0</v>
      </c>
      <c r="T837">
        <v>0</v>
      </c>
      <c r="U837">
        <v>0</v>
      </c>
      <c r="V837">
        <v>0</v>
      </c>
      <c r="W837" t="s">
        <v>14</v>
      </c>
      <c r="X837">
        <v>22.78</v>
      </c>
    </row>
    <row r="838" spans="1:24" ht="15">
      <c r="A838">
        <v>831</v>
      </c>
      <c r="B838">
        <v>89288</v>
      </c>
      <c r="C838" t="s">
        <v>2108</v>
      </c>
      <c r="D838" t="s">
        <v>349</v>
      </c>
      <c r="E838" t="s">
        <v>177</v>
      </c>
      <c r="F838" t="str">
        <f>"00641611"</f>
        <v>00641611</v>
      </c>
      <c r="G838">
        <v>15.78</v>
      </c>
      <c r="H838">
        <v>0</v>
      </c>
      <c r="I838">
        <v>0</v>
      </c>
      <c r="J838">
        <v>0</v>
      </c>
      <c r="K838">
        <v>0</v>
      </c>
      <c r="N838">
        <v>3</v>
      </c>
      <c r="O838">
        <v>3</v>
      </c>
      <c r="P838">
        <v>4</v>
      </c>
      <c r="Q838">
        <v>0</v>
      </c>
      <c r="R838">
        <v>22.78</v>
      </c>
      <c r="S838">
        <v>0</v>
      </c>
      <c r="T838">
        <v>0</v>
      </c>
      <c r="U838">
        <v>0</v>
      </c>
      <c r="V838">
        <v>0</v>
      </c>
      <c r="W838" t="s">
        <v>14</v>
      </c>
      <c r="X838">
        <v>22.78</v>
      </c>
    </row>
    <row r="839" spans="1:24" ht="15">
      <c r="A839">
        <v>832</v>
      </c>
      <c r="B839">
        <v>86215</v>
      </c>
      <c r="C839" t="s">
        <v>393</v>
      </c>
      <c r="D839" t="s">
        <v>2111</v>
      </c>
      <c r="E839" t="s">
        <v>30</v>
      </c>
      <c r="F839" t="str">
        <f>"00009919"</f>
        <v>00009919</v>
      </c>
      <c r="G839">
        <v>15.75</v>
      </c>
      <c r="H839">
        <v>0</v>
      </c>
      <c r="I839">
        <v>0</v>
      </c>
      <c r="J839">
        <v>0</v>
      </c>
      <c r="K839">
        <v>0</v>
      </c>
      <c r="N839">
        <v>3</v>
      </c>
      <c r="O839">
        <v>3</v>
      </c>
      <c r="P839">
        <v>4</v>
      </c>
      <c r="Q839">
        <v>0</v>
      </c>
      <c r="R839">
        <v>22.75</v>
      </c>
      <c r="S839">
        <v>0</v>
      </c>
      <c r="T839">
        <v>0</v>
      </c>
      <c r="U839">
        <v>0</v>
      </c>
      <c r="V839">
        <v>0</v>
      </c>
      <c r="W839" t="s">
        <v>14</v>
      </c>
      <c r="X839">
        <v>22.75</v>
      </c>
    </row>
    <row r="840" spans="1:24" ht="15">
      <c r="A840">
        <v>833</v>
      </c>
      <c r="B840">
        <v>42702</v>
      </c>
      <c r="C840" t="s">
        <v>2112</v>
      </c>
      <c r="D840" t="s">
        <v>563</v>
      </c>
      <c r="E840" t="s">
        <v>30</v>
      </c>
      <c r="F840" t="str">
        <f>"201207000195"</f>
        <v>201207000195</v>
      </c>
      <c r="G840">
        <v>15.7</v>
      </c>
      <c r="H840">
        <v>0</v>
      </c>
      <c r="I840">
        <v>0</v>
      </c>
      <c r="J840">
        <v>0</v>
      </c>
      <c r="K840">
        <v>0</v>
      </c>
      <c r="O840">
        <v>0</v>
      </c>
      <c r="P840">
        <v>4</v>
      </c>
      <c r="Q840">
        <v>0</v>
      </c>
      <c r="R840">
        <v>19.7</v>
      </c>
      <c r="S840">
        <v>0</v>
      </c>
      <c r="T840">
        <v>0</v>
      </c>
      <c r="U840">
        <v>3</v>
      </c>
      <c r="V840">
        <v>0</v>
      </c>
      <c r="W840" t="s">
        <v>14</v>
      </c>
      <c r="X840">
        <v>22.7</v>
      </c>
    </row>
    <row r="841" spans="1:24" ht="15">
      <c r="A841">
        <v>834</v>
      </c>
      <c r="B841">
        <v>101253</v>
      </c>
      <c r="C841" t="s">
        <v>2117</v>
      </c>
      <c r="D841" t="s">
        <v>571</v>
      </c>
      <c r="E841" t="s">
        <v>27</v>
      </c>
      <c r="F841" t="str">
        <f>"00639688"</f>
        <v>00639688</v>
      </c>
      <c r="G841">
        <v>16.65</v>
      </c>
      <c r="H841">
        <v>0</v>
      </c>
      <c r="I841">
        <v>0</v>
      </c>
      <c r="J841">
        <v>0</v>
      </c>
      <c r="K841">
        <v>0</v>
      </c>
      <c r="O841">
        <v>0</v>
      </c>
      <c r="P841">
        <v>4</v>
      </c>
      <c r="Q841">
        <v>2</v>
      </c>
      <c r="R841">
        <v>22.65</v>
      </c>
      <c r="S841">
        <v>0</v>
      </c>
      <c r="T841">
        <v>0</v>
      </c>
      <c r="U841">
        <v>0</v>
      </c>
      <c r="V841">
        <v>0</v>
      </c>
      <c r="W841" t="s">
        <v>14</v>
      </c>
      <c r="X841">
        <v>22.65</v>
      </c>
    </row>
    <row r="842" spans="1:24" ht="15">
      <c r="A842">
        <v>835</v>
      </c>
      <c r="B842">
        <v>114283</v>
      </c>
      <c r="C842" t="s">
        <v>2118</v>
      </c>
      <c r="D842" t="s">
        <v>601</v>
      </c>
      <c r="E842" t="s">
        <v>21</v>
      </c>
      <c r="F842" t="str">
        <f>"00627745"</f>
        <v>00627745</v>
      </c>
      <c r="G842">
        <v>15.65</v>
      </c>
      <c r="H842">
        <v>0</v>
      </c>
      <c r="I842">
        <v>0</v>
      </c>
      <c r="J842">
        <v>0</v>
      </c>
      <c r="K842">
        <v>0</v>
      </c>
      <c r="N842">
        <v>3</v>
      </c>
      <c r="O842">
        <v>3</v>
      </c>
      <c r="P842">
        <v>4</v>
      </c>
      <c r="Q842">
        <v>0</v>
      </c>
      <c r="R842">
        <v>22.65</v>
      </c>
      <c r="S842">
        <v>0</v>
      </c>
      <c r="T842">
        <v>0</v>
      </c>
      <c r="U842">
        <v>0</v>
      </c>
      <c r="V842">
        <v>0</v>
      </c>
      <c r="W842" t="s">
        <v>14</v>
      </c>
      <c r="X842">
        <v>22.65</v>
      </c>
    </row>
    <row r="843" spans="1:24" ht="15">
      <c r="A843">
        <v>836</v>
      </c>
      <c r="B843">
        <v>57541</v>
      </c>
      <c r="C843" t="s">
        <v>2122</v>
      </c>
      <c r="D843" t="s">
        <v>2123</v>
      </c>
      <c r="E843" t="s">
        <v>12</v>
      </c>
      <c r="F843" t="str">
        <f>"00613261"</f>
        <v>00613261</v>
      </c>
      <c r="G843">
        <v>19.55</v>
      </c>
      <c r="H843">
        <v>0</v>
      </c>
      <c r="I843">
        <v>0</v>
      </c>
      <c r="J843">
        <v>0</v>
      </c>
      <c r="K843">
        <v>0</v>
      </c>
      <c r="N843">
        <v>3</v>
      </c>
      <c r="O843">
        <v>3</v>
      </c>
      <c r="P843">
        <v>0</v>
      </c>
      <c r="Q843">
        <v>0</v>
      </c>
      <c r="R843">
        <v>22.55</v>
      </c>
      <c r="S843">
        <v>0</v>
      </c>
      <c r="T843">
        <v>0</v>
      </c>
      <c r="U843">
        <v>0</v>
      </c>
      <c r="V843">
        <v>0</v>
      </c>
      <c r="W843" t="s">
        <v>14</v>
      </c>
      <c r="X843">
        <v>22.55</v>
      </c>
    </row>
    <row r="844" spans="1:24" ht="15">
      <c r="A844">
        <v>837</v>
      </c>
      <c r="B844">
        <v>104112</v>
      </c>
      <c r="C844" t="s">
        <v>2124</v>
      </c>
      <c r="D844" t="s">
        <v>91</v>
      </c>
      <c r="E844" t="s">
        <v>17</v>
      </c>
      <c r="F844" t="str">
        <f>"00645045"</f>
        <v>00645045</v>
      </c>
      <c r="G844">
        <v>15.53</v>
      </c>
      <c r="H844">
        <v>0</v>
      </c>
      <c r="I844">
        <v>0</v>
      </c>
      <c r="J844">
        <v>0</v>
      </c>
      <c r="K844">
        <v>0</v>
      </c>
      <c r="N844">
        <v>3</v>
      </c>
      <c r="O844">
        <v>3</v>
      </c>
      <c r="P844">
        <v>4</v>
      </c>
      <c r="Q844">
        <v>0</v>
      </c>
      <c r="R844">
        <v>22.53</v>
      </c>
      <c r="S844">
        <v>0</v>
      </c>
      <c r="T844">
        <v>0</v>
      </c>
      <c r="U844">
        <v>0</v>
      </c>
      <c r="V844">
        <v>0</v>
      </c>
      <c r="W844" t="s">
        <v>14</v>
      </c>
      <c r="X844">
        <v>22.53</v>
      </c>
    </row>
    <row r="845" spans="1:24" ht="15">
      <c r="A845">
        <v>838</v>
      </c>
      <c r="B845">
        <v>5128</v>
      </c>
      <c r="C845" t="s">
        <v>2127</v>
      </c>
      <c r="D845" t="s">
        <v>12</v>
      </c>
      <c r="E845" t="s">
        <v>1490</v>
      </c>
      <c r="F845" t="str">
        <f>"00194414"</f>
        <v>00194414</v>
      </c>
      <c r="G845">
        <v>15.48</v>
      </c>
      <c r="H845">
        <v>0</v>
      </c>
      <c r="I845">
        <v>0</v>
      </c>
      <c r="J845">
        <v>0</v>
      </c>
      <c r="K845">
        <v>0</v>
      </c>
      <c r="O845">
        <v>0</v>
      </c>
      <c r="P845">
        <v>4</v>
      </c>
      <c r="Q845">
        <v>0</v>
      </c>
      <c r="R845">
        <v>19.48</v>
      </c>
      <c r="S845">
        <v>0</v>
      </c>
      <c r="T845">
        <v>0</v>
      </c>
      <c r="U845">
        <v>3</v>
      </c>
      <c r="V845">
        <v>0</v>
      </c>
      <c r="W845" t="s">
        <v>14</v>
      </c>
      <c r="X845">
        <v>22.48</v>
      </c>
    </row>
    <row r="846" spans="1:24" ht="15">
      <c r="A846">
        <v>839</v>
      </c>
      <c r="B846">
        <v>56032</v>
      </c>
      <c r="C846" t="s">
        <v>96</v>
      </c>
      <c r="D846" t="s">
        <v>16</v>
      </c>
      <c r="E846" t="s">
        <v>201</v>
      </c>
      <c r="F846" t="str">
        <f>"201402010834"</f>
        <v>201402010834</v>
      </c>
      <c r="G846">
        <v>22.48</v>
      </c>
      <c r="H846">
        <v>0</v>
      </c>
      <c r="I846">
        <v>0</v>
      </c>
      <c r="J846">
        <v>0</v>
      </c>
      <c r="K846">
        <v>0</v>
      </c>
      <c r="O846">
        <v>0</v>
      </c>
      <c r="P846">
        <v>0</v>
      </c>
      <c r="Q846">
        <v>0</v>
      </c>
      <c r="R846">
        <v>22.48</v>
      </c>
      <c r="S846">
        <v>0</v>
      </c>
      <c r="T846">
        <v>0</v>
      </c>
      <c r="U846">
        <v>0</v>
      </c>
      <c r="V846">
        <v>0</v>
      </c>
      <c r="W846" t="s">
        <v>14</v>
      </c>
      <c r="X846">
        <v>22.48</v>
      </c>
    </row>
    <row r="847" spans="1:24" ht="15">
      <c r="A847">
        <v>840</v>
      </c>
      <c r="B847">
        <v>98994</v>
      </c>
      <c r="C847" t="s">
        <v>2128</v>
      </c>
      <c r="D847" t="s">
        <v>1279</v>
      </c>
      <c r="E847" t="s">
        <v>17</v>
      </c>
      <c r="F847" t="str">
        <f>"00645978"</f>
        <v>00645978</v>
      </c>
      <c r="G847">
        <v>15.48</v>
      </c>
      <c r="H847">
        <v>0</v>
      </c>
      <c r="I847">
        <v>0</v>
      </c>
      <c r="J847">
        <v>0</v>
      </c>
      <c r="K847">
        <v>0</v>
      </c>
      <c r="N847">
        <v>3</v>
      </c>
      <c r="O847">
        <v>3</v>
      </c>
      <c r="P847">
        <v>4</v>
      </c>
      <c r="Q847">
        <v>0</v>
      </c>
      <c r="R847">
        <v>22.48</v>
      </c>
      <c r="S847">
        <v>0</v>
      </c>
      <c r="T847">
        <v>0</v>
      </c>
      <c r="U847">
        <v>0</v>
      </c>
      <c r="V847">
        <v>0</v>
      </c>
      <c r="W847" t="s">
        <v>14</v>
      </c>
      <c r="X847">
        <v>22.48</v>
      </c>
    </row>
    <row r="848" spans="1:24" ht="15">
      <c r="A848">
        <v>841</v>
      </c>
      <c r="B848">
        <v>35577</v>
      </c>
      <c r="C848" t="s">
        <v>2131</v>
      </c>
      <c r="D848" t="s">
        <v>29</v>
      </c>
      <c r="E848" t="s">
        <v>21</v>
      </c>
      <c r="F848" t="str">
        <f>"200802004829"</f>
        <v>200802004829</v>
      </c>
      <c r="G848">
        <v>16.35</v>
      </c>
      <c r="H848">
        <v>0</v>
      </c>
      <c r="I848">
        <v>0</v>
      </c>
      <c r="J848">
        <v>0</v>
      </c>
      <c r="K848">
        <v>0</v>
      </c>
      <c r="O848">
        <v>0</v>
      </c>
      <c r="P848">
        <v>4</v>
      </c>
      <c r="Q848">
        <v>2</v>
      </c>
      <c r="R848">
        <v>22.35</v>
      </c>
      <c r="S848">
        <v>0</v>
      </c>
      <c r="T848">
        <v>0</v>
      </c>
      <c r="U848">
        <v>0</v>
      </c>
      <c r="V848">
        <v>0</v>
      </c>
      <c r="W848" t="s">
        <v>14</v>
      </c>
      <c r="X848">
        <v>22.35</v>
      </c>
    </row>
    <row r="849" spans="1:24" ht="15">
      <c r="A849">
        <v>842</v>
      </c>
      <c r="B849">
        <v>115591</v>
      </c>
      <c r="C849" t="s">
        <v>2132</v>
      </c>
      <c r="D849" t="s">
        <v>1023</v>
      </c>
      <c r="E849" t="s">
        <v>151</v>
      </c>
      <c r="F849" t="str">
        <f>"00342409"</f>
        <v>00342409</v>
      </c>
      <c r="G849">
        <v>15.35</v>
      </c>
      <c r="H849">
        <v>0</v>
      </c>
      <c r="I849">
        <v>0</v>
      </c>
      <c r="J849">
        <v>0</v>
      </c>
      <c r="K849">
        <v>0</v>
      </c>
      <c r="N849">
        <v>3</v>
      </c>
      <c r="O849">
        <v>3</v>
      </c>
      <c r="P849">
        <v>4</v>
      </c>
      <c r="Q849">
        <v>0</v>
      </c>
      <c r="R849">
        <v>22.35</v>
      </c>
      <c r="S849">
        <v>0</v>
      </c>
      <c r="T849">
        <v>0</v>
      </c>
      <c r="U849">
        <v>0</v>
      </c>
      <c r="V849">
        <v>0</v>
      </c>
      <c r="W849" t="s">
        <v>14</v>
      </c>
      <c r="X849">
        <v>22.35</v>
      </c>
    </row>
    <row r="850" spans="1:24" ht="15">
      <c r="A850">
        <v>843</v>
      </c>
      <c r="B850">
        <v>71094</v>
      </c>
      <c r="C850" t="s">
        <v>2134</v>
      </c>
      <c r="D850" t="s">
        <v>120</v>
      </c>
      <c r="E850" t="s">
        <v>80</v>
      </c>
      <c r="F850" t="str">
        <f>"00621008"</f>
        <v>00621008</v>
      </c>
      <c r="G850">
        <v>16.25</v>
      </c>
      <c r="H850">
        <v>0</v>
      </c>
      <c r="I850">
        <v>0</v>
      </c>
      <c r="J850">
        <v>0</v>
      </c>
      <c r="K850">
        <v>0</v>
      </c>
      <c r="O850">
        <v>0</v>
      </c>
      <c r="P850">
        <v>0</v>
      </c>
      <c r="Q850">
        <v>0</v>
      </c>
      <c r="R850">
        <v>16.25</v>
      </c>
      <c r="S850">
        <v>0</v>
      </c>
      <c r="T850">
        <v>0</v>
      </c>
      <c r="U850">
        <v>6</v>
      </c>
      <c r="V850">
        <v>0</v>
      </c>
      <c r="W850" t="s">
        <v>14</v>
      </c>
      <c r="X850">
        <v>22.25</v>
      </c>
    </row>
    <row r="851" spans="1:24" ht="15">
      <c r="A851">
        <v>844</v>
      </c>
      <c r="B851">
        <v>41083</v>
      </c>
      <c r="C851" t="s">
        <v>2140</v>
      </c>
      <c r="D851" t="s">
        <v>30</v>
      </c>
      <c r="E851" t="s">
        <v>60</v>
      </c>
      <c r="F851" t="str">
        <f>"201507002819"</f>
        <v>201507002819</v>
      </c>
      <c r="G851">
        <v>18.08</v>
      </c>
      <c r="H851">
        <v>0</v>
      </c>
      <c r="I851">
        <v>0</v>
      </c>
      <c r="J851">
        <v>0</v>
      </c>
      <c r="K851">
        <v>0</v>
      </c>
      <c r="O851">
        <v>0</v>
      </c>
      <c r="P851">
        <v>4</v>
      </c>
      <c r="Q851">
        <v>0</v>
      </c>
      <c r="R851">
        <v>22.08</v>
      </c>
      <c r="S851">
        <v>0</v>
      </c>
      <c r="T851">
        <v>0</v>
      </c>
      <c r="U851">
        <v>0</v>
      </c>
      <c r="V851">
        <v>0</v>
      </c>
      <c r="W851" t="s">
        <v>14</v>
      </c>
      <c r="X851">
        <v>22.08</v>
      </c>
    </row>
    <row r="852" spans="1:24" ht="15">
      <c r="A852">
        <v>845</v>
      </c>
      <c r="B852">
        <v>92012</v>
      </c>
      <c r="C852" t="s">
        <v>412</v>
      </c>
      <c r="D852" t="s">
        <v>2141</v>
      </c>
      <c r="E852" t="s">
        <v>111</v>
      </c>
      <c r="F852" t="str">
        <f>"00634583"</f>
        <v>00634583</v>
      </c>
      <c r="G852">
        <v>16.05</v>
      </c>
      <c r="H852">
        <v>0</v>
      </c>
      <c r="I852">
        <v>0</v>
      </c>
      <c r="J852">
        <v>0</v>
      </c>
      <c r="K852">
        <v>0</v>
      </c>
      <c r="N852">
        <v>3</v>
      </c>
      <c r="O852">
        <v>3</v>
      </c>
      <c r="P852">
        <v>0</v>
      </c>
      <c r="Q852">
        <v>0</v>
      </c>
      <c r="R852">
        <v>19.05</v>
      </c>
      <c r="S852">
        <v>0</v>
      </c>
      <c r="T852">
        <v>0</v>
      </c>
      <c r="U852">
        <v>3</v>
      </c>
      <c r="V852">
        <v>0</v>
      </c>
      <c r="W852" t="s">
        <v>14</v>
      </c>
      <c r="X852">
        <v>22.05</v>
      </c>
    </row>
    <row r="853" spans="1:24" ht="15">
      <c r="A853">
        <v>846</v>
      </c>
      <c r="B853">
        <v>89781</v>
      </c>
      <c r="C853" t="s">
        <v>592</v>
      </c>
      <c r="D853" t="s">
        <v>97</v>
      </c>
      <c r="E853" t="s">
        <v>61</v>
      </c>
      <c r="F853" t="str">
        <f>"00433142"</f>
        <v>00433142</v>
      </c>
      <c r="G853">
        <v>18.05</v>
      </c>
      <c r="H853">
        <v>0</v>
      </c>
      <c r="I853">
        <v>0</v>
      </c>
      <c r="J853">
        <v>0</v>
      </c>
      <c r="K853">
        <v>0</v>
      </c>
      <c r="O853">
        <v>0</v>
      </c>
      <c r="P853">
        <v>4</v>
      </c>
      <c r="Q853">
        <v>0</v>
      </c>
      <c r="R853">
        <v>22.05</v>
      </c>
      <c r="S853">
        <v>0</v>
      </c>
      <c r="T853">
        <v>0</v>
      </c>
      <c r="U853">
        <v>0</v>
      </c>
      <c r="V853">
        <v>0</v>
      </c>
      <c r="W853" t="s">
        <v>14</v>
      </c>
      <c r="X853">
        <v>22.05</v>
      </c>
    </row>
    <row r="854" spans="1:24" ht="15">
      <c r="A854">
        <v>847</v>
      </c>
      <c r="B854">
        <v>53543</v>
      </c>
      <c r="C854" t="s">
        <v>2143</v>
      </c>
      <c r="D854" t="s">
        <v>21</v>
      </c>
      <c r="E854" t="s">
        <v>30</v>
      </c>
      <c r="F854" t="str">
        <f>"00219157"</f>
        <v>00219157</v>
      </c>
      <c r="G854">
        <v>16.05</v>
      </c>
      <c r="H854">
        <v>0</v>
      </c>
      <c r="I854">
        <v>0</v>
      </c>
      <c r="J854">
        <v>0</v>
      </c>
      <c r="K854">
        <v>0</v>
      </c>
      <c r="O854">
        <v>0</v>
      </c>
      <c r="P854">
        <v>4</v>
      </c>
      <c r="Q854">
        <v>2</v>
      </c>
      <c r="R854">
        <v>22.05</v>
      </c>
      <c r="S854">
        <v>0</v>
      </c>
      <c r="T854">
        <v>0</v>
      </c>
      <c r="U854">
        <v>0</v>
      </c>
      <c r="V854">
        <v>0</v>
      </c>
      <c r="W854" t="s">
        <v>14</v>
      </c>
      <c r="X854">
        <v>22.05</v>
      </c>
    </row>
    <row r="855" spans="1:24" ht="15">
      <c r="A855">
        <v>848</v>
      </c>
      <c r="B855">
        <v>7021</v>
      </c>
      <c r="C855" t="s">
        <v>2145</v>
      </c>
      <c r="D855" t="s">
        <v>16</v>
      </c>
      <c r="E855" t="s">
        <v>17</v>
      </c>
      <c r="F855" t="str">
        <f>"00109589"</f>
        <v>00109589</v>
      </c>
      <c r="G855">
        <v>15.05</v>
      </c>
      <c r="H855">
        <v>0</v>
      </c>
      <c r="I855">
        <v>0</v>
      </c>
      <c r="J855">
        <v>0</v>
      </c>
      <c r="K855">
        <v>0</v>
      </c>
      <c r="N855">
        <v>3</v>
      </c>
      <c r="O855">
        <v>3</v>
      </c>
      <c r="P855">
        <v>4</v>
      </c>
      <c r="Q855">
        <v>0</v>
      </c>
      <c r="R855">
        <v>22.05</v>
      </c>
      <c r="S855">
        <v>0</v>
      </c>
      <c r="T855">
        <v>0</v>
      </c>
      <c r="U855">
        <v>0</v>
      </c>
      <c r="V855">
        <v>0</v>
      </c>
      <c r="W855" t="s">
        <v>14</v>
      </c>
      <c r="X855">
        <v>22.05</v>
      </c>
    </row>
    <row r="856" spans="1:24" ht="15">
      <c r="A856">
        <v>849</v>
      </c>
      <c r="B856">
        <v>88132</v>
      </c>
      <c r="C856" t="s">
        <v>2146</v>
      </c>
      <c r="D856" t="s">
        <v>2147</v>
      </c>
      <c r="E856" t="s">
        <v>12</v>
      </c>
      <c r="F856" t="str">
        <f>"00633157"</f>
        <v>00633157</v>
      </c>
      <c r="G856">
        <v>16.03</v>
      </c>
      <c r="H856">
        <v>0</v>
      </c>
      <c r="I856">
        <v>0</v>
      </c>
      <c r="J856">
        <v>0</v>
      </c>
      <c r="K856">
        <v>0</v>
      </c>
      <c r="O856">
        <v>0</v>
      </c>
      <c r="P856">
        <v>4</v>
      </c>
      <c r="Q856">
        <v>2</v>
      </c>
      <c r="R856">
        <v>22.03</v>
      </c>
      <c r="S856">
        <v>0</v>
      </c>
      <c r="T856">
        <v>0</v>
      </c>
      <c r="U856">
        <v>0</v>
      </c>
      <c r="V856">
        <v>0</v>
      </c>
      <c r="W856" t="s">
        <v>14</v>
      </c>
      <c r="X856">
        <v>22.03</v>
      </c>
    </row>
    <row r="857" spans="1:24" ht="15">
      <c r="A857">
        <v>850</v>
      </c>
      <c r="B857">
        <v>76293</v>
      </c>
      <c r="C857" t="s">
        <v>2149</v>
      </c>
      <c r="D857" t="s">
        <v>2150</v>
      </c>
      <c r="E857" t="s">
        <v>27</v>
      </c>
      <c r="F857" t="str">
        <f>"00638950"</f>
        <v>00638950</v>
      </c>
      <c r="G857">
        <v>15.98</v>
      </c>
      <c r="H857">
        <v>0</v>
      </c>
      <c r="I857">
        <v>0</v>
      </c>
      <c r="J857">
        <v>0</v>
      </c>
      <c r="K857">
        <v>0</v>
      </c>
      <c r="O857">
        <v>0</v>
      </c>
      <c r="P857">
        <v>4</v>
      </c>
      <c r="Q857">
        <v>2</v>
      </c>
      <c r="R857">
        <v>21.98</v>
      </c>
      <c r="S857">
        <v>0</v>
      </c>
      <c r="T857">
        <v>0</v>
      </c>
      <c r="U857">
        <v>0</v>
      </c>
      <c r="V857">
        <v>0</v>
      </c>
      <c r="W857" t="s">
        <v>14</v>
      </c>
      <c r="X857">
        <v>21.98</v>
      </c>
    </row>
    <row r="858" spans="1:24" ht="15">
      <c r="A858">
        <v>851</v>
      </c>
      <c r="B858">
        <v>88166</v>
      </c>
      <c r="C858" t="s">
        <v>2152</v>
      </c>
      <c r="D858" t="s">
        <v>1089</v>
      </c>
      <c r="E858" t="s">
        <v>104</v>
      </c>
      <c r="F858" t="str">
        <f>"00158766"</f>
        <v>00158766</v>
      </c>
      <c r="G858">
        <v>14.88</v>
      </c>
      <c r="H858">
        <v>0</v>
      </c>
      <c r="I858">
        <v>0</v>
      </c>
      <c r="J858">
        <v>0</v>
      </c>
      <c r="K858">
        <v>0</v>
      </c>
      <c r="O858">
        <v>0</v>
      </c>
      <c r="P858">
        <v>4</v>
      </c>
      <c r="Q858">
        <v>0</v>
      </c>
      <c r="R858">
        <v>18.88</v>
      </c>
      <c r="S858">
        <v>0</v>
      </c>
      <c r="T858">
        <v>0</v>
      </c>
      <c r="U858">
        <v>3</v>
      </c>
      <c r="V858">
        <v>0</v>
      </c>
      <c r="W858" t="s">
        <v>14</v>
      </c>
      <c r="X858">
        <v>21.88</v>
      </c>
    </row>
    <row r="859" spans="1:24" ht="15">
      <c r="A859">
        <v>852</v>
      </c>
      <c r="B859">
        <v>67701</v>
      </c>
      <c r="C859" t="s">
        <v>2153</v>
      </c>
      <c r="D859" t="s">
        <v>2154</v>
      </c>
      <c r="E859" t="s">
        <v>2155</v>
      </c>
      <c r="F859" t="str">
        <f>"00517130"</f>
        <v>00517130</v>
      </c>
      <c r="G859">
        <v>18.83</v>
      </c>
      <c r="H859">
        <v>0</v>
      </c>
      <c r="I859">
        <v>0</v>
      </c>
      <c r="J859">
        <v>0</v>
      </c>
      <c r="K859">
        <v>0</v>
      </c>
      <c r="N859">
        <v>3</v>
      </c>
      <c r="O859">
        <v>3</v>
      </c>
      <c r="P859">
        <v>0</v>
      </c>
      <c r="Q859">
        <v>0</v>
      </c>
      <c r="R859">
        <v>21.83</v>
      </c>
      <c r="S859">
        <v>0</v>
      </c>
      <c r="T859">
        <v>0</v>
      </c>
      <c r="U859">
        <v>0</v>
      </c>
      <c r="V859">
        <v>0</v>
      </c>
      <c r="W859" t="s">
        <v>14</v>
      </c>
      <c r="X859">
        <v>21.83</v>
      </c>
    </row>
    <row r="860" spans="1:24" ht="15">
      <c r="A860">
        <v>853</v>
      </c>
      <c r="B860">
        <v>48990</v>
      </c>
      <c r="C860" t="s">
        <v>2156</v>
      </c>
      <c r="D860" t="s">
        <v>391</v>
      </c>
      <c r="E860" t="s">
        <v>507</v>
      </c>
      <c r="F860" t="str">
        <f>"00173853"</f>
        <v>00173853</v>
      </c>
      <c r="G860">
        <v>15.75</v>
      </c>
      <c r="H860">
        <v>0</v>
      </c>
      <c r="I860">
        <v>0</v>
      </c>
      <c r="J860">
        <v>0</v>
      </c>
      <c r="K860">
        <v>0</v>
      </c>
      <c r="O860">
        <v>0</v>
      </c>
      <c r="P860">
        <v>4</v>
      </c>
      <c r="Q860">
        <v>2</v>
      </c>
      <c r="R860">
        <v>21.75</v>
      </c>
      <c r="S860">
        <v>0</v>
      </c>
      <c r="T860">
        <v>0</v>
      </c>
      <c r="U860">
        <v>0</v>
      </c>
      <c r="V860">
        <v>0</v>
      </c>
      <c r="W860" t="s">
        <v>14</v>
      </c>
      <c r="X860">
        <v>21.75</v>
      </c>
    </row>
    <row r="861" spans="1:24" ht="15">
      <c r="A861">
        <v>854</v>
      </c>
      <c r="B861">
        <v>90309</v>
      </c>
      <c r="C861" t="s">
        <v>2157</v>
      </c>
      <c r="D861" t="s">
        <v>335</v>
      </c>
      <c r="E861" t="s">
        <v>21</v>
      </c>
      <c r="F861" t="str">
        <f>"00363390"</f>
        <v>00363390</v>
      </c>
      <c r="G861">
        <v>15.7</v>
      </c>
      <c r="H861">
        <v>0</v>
      </c>
      <c r="I861">
        <v>0</v>
      </c>
      <c r="J861">
        <v>0</v>
      </c>
      <c r="K861">
        <v>0</v>
      </c>
      <c r="O861">
        <v>0</v>
      </c>
      <c r="P861">
        <v>4</v>
      </c>
      <c r="Q861">
        <v>2</v>
      </c>
      <c r="R861">
        <v>21.7</v>
      </c>
      <c r="S861">
        <v>0</v>
      </c>
      <c r="T861">
        <v>0</v>
      </c>
      <c r="U861">
        <v>0</v>
      </c>
      <c r="V861">
        <v>0</v>
      </c>
      <c r="W861" t="s">
        <v>14</v>
      </c>
      <c r="X861">
        <v>21.7</v>
      </c>
    </row>
    <row r="862" spans="1:24" ht="15">
      <c r="A862">
        <v>855</v>
      </c>
      <c r="B862">
        <v>95942</v>
      </c>
      <c r="C862" t="s">
        <v>2158</v>
      </c>
      <c r="D862" t="s">
        <v>111</v>
      </c>
      <c r="E862" t="s">
        <v>21</v>
      </c>
      <c r="F862" t="str">
        <f>"201402003969"</f>
        <v>201402003969</v>
      </c>
      <c r="G862">
        <v>17.68</v>
      </c>
      <c r="H862">
        <v>0</v>
      </c>
      <c r="I862">
        <v>0</v>
      </c>
      <c r="J862">
        <v>0</v>
      </c>
      <c r="K862">
        <v>0</v>
      </c>
      <c r="O862">
        <v>0</v>
      </c>
      <c r="P862">
        <v>4</v>
      </c>
      <c r="Q862">
        <v>0</v>
      </c>
      <c r="R862">
        <v>21.68</v>
      </c>
      <c r="S862">
        <v>0</v>
      </c>
      <c r="T862">
        <v>0</v>
      </c>
      <c r="U862">
        <v>0</v>
      </c>
      <c r="V862">
        <v>0</v>
      </c>
      <c r="W862" t="s">
        <v>14</v>
      </c>
      <c r="X862">
        <v>21.68</v>
      </c>
    </row>
    <row r="863" spans="1:24" ht="15">
      <c r="A863">
        <v>856</v>
      </c>
      <c r="B863">
        <v>69384</v>
      </c>
      <c r="C863" t="s">
        <v>2160</v>
      </c>
      <c r="D863" t="s">
        <v>29</v>
      </c>
      <c r="E863" t="s">
        <v>215</v>
      </c>
      <c r="F863" t="str">
        <f>"00424702"</f>
        <v>00424702</v>
      </c>
      <c r="G863">
        <v>15.6</v>
      </c>
      <c r="H863">
        <v>0</v>
      </c>
      <c r="I863">
        <v>0</v>
      </c>
      <c r="J863">
        <v>0</v>
      </c>
      <c r="K863">
        <v>0</v>
      </c>
      <c r="O863">
        <v>0</v>
      </c>
      <c r="P863">
        <v>4</v>
      </c>
      <c r="Q863">
        <v>2</v>
      </c>
      <c r="R863">
        <v>21.6</v>
      </c>
      <c r="S863">
        <v>0</v>
      </c>
      <c r="T863">
        <v>0</v>
      </c>
      <c r="U863">
        <v>0</v>
      </c>
      <c r="V863">
        <v>0</v>
      </c>
      <c r="W863" t="s">
        <v>14</v>
      </c>
      <c r="X863">
        <v>21.6</v>
      </c>
    </row>
    <row r="864" spans="1:24" ht="15">
      <c r="A864">
        <v>857</v>
      </c>
      <c r="B864">
        <v>9005</v>
      </c>
      <c r="C864" t="s">
        <v>2161</v>
      </c>
      <c r="D864" t="s">
        <v>97</v>
      </c>
      <c r="E864" t="s">
        <v>113</v>
      </c>
      <c r="F864" t="str">
        <f>"201507003016"</f>
        <v>201507003016</v>
      </c>
      <c r="G864">
        <v>17.58</v>
      </c>
      <c r="H864">
        <v>0</v>
      </c>
      <c r="I864">
        <v>0</v>
      </c>
      <c r="J864">
        <v>0</v>
      </c>
      <c r="K864">
        <v>0</v>
      </c>
      <c r="O864">
        <v>0</v>
      </c>
      <c r="P864">
        <v>4</v>
      </c>
      <c r="Q864">
        <v>0</v>
      </c>
      <c r="R864">
        <v>21.58</v>
      </c>
      <c r="S864">
        <v>0</v>
      </c>
      <c r="T864">
        <v>0</v>
      </c>
      <c r="U864">
        <v>0</v>
      </c>
      <c r="V864">
        <v>0</v>
      </c>
      <c r="W864" t="s">
        <v>14</v>
      </c>
      <c r="X864">
        <v>21.58</v>
      </c>
    </row>
    <row r="865" spans="1:24" ht="15">
      <c r="A865">
        <v>858</v>
      </c>
      <c r="B865">
        <v>82442</v>
      </c>
      <c r="C865" t="s">
        <v>535</v>
      </c>
      <c r="D865" t="s">
        <v>370</v>
      </c>
      <c r="E865" t="s">
        <v>2163</v>
      </c>
      <c r="F865" t="str">
        <f>"200810000654"</f>
        <v>200810000654</v>
      </c>
      <c r="G865">
        <v>17.53</v>
      </c>
      <c r="H865">
        <v>0</v>
      </c>
      <c r="I865">
        <v>0</v>
      </c>
      <c r="J865">
        <v>0</v>
      </c>
      <c r="K865">
        <v>0</v>
      </c>
      <c r="O865">
        <v>0</v>
      </c>
      <c r="P865">
        <v>4</v>
      </c>
      <c r="Q865">
        <v>0</v>
      </c>
      <c r="R865">
        <v>21.53</v>
      </c>
      <c r="S865">
        <v>0</v>
      </c>
      <c r="T865">
        <v>0</v>
      </c>
      <c r="U865">
        <v>0</v>
      </c>
      <c r="V865">
        <v>0</v>
      </c>
      <c r="W865" t="s">
        <v>14</v>
      </c>
      <c r="X865">
        <v>21.53</v>
      </c>
    </row>
    <row r="866" spans="1:24" ht="15">
      <c r="A866">
        <v>859</v>
      </c>
      <c r="B866">
        <v>114223</v>
      </c>
      <c r="C866" t="s">
        <v>2164</v>
      </c>
      <c r="D866" t="s">
        <v>17</v>
      </c>
      <c r="E866" t="s">
        <v>124</v>
      </c>
      <c r="F866" t="str">
        <f>"200811001461"</f>
        <v>200811001461</v>
      </c>
      <c r="G866">
        <v>14.5</v>
      </c>
      <c r="H866">
        <v>0</v>
      </c>
      <c r="I866">
        <v>0</v>
      </c>
      <c r="J866">
        <v>0</v>
      </c>
      <c r="K866">
        <v>0</v>
      </c>
      <c r="N866">
        <v>3</v>
      </c>
      <c r="O866">
        <v>3</v>
      </c>
      <c r="P866">
        <v>4</v>
      </c>
      <c r="Q866">
        <v>0</v>
      </c>
      <c r="R866">
        <v>21.5</v>
      </c>
      <c r="S866">
        <v>0</v>
      </c>
      <c r="T866">
        <v>0</v>
      </c>
      <c r="U866">
        <v>0</v>
      </c>
      <c r="V866">
        <v>0</v>
      </c>
      <c r="W866" t="s">
        <v>14</v>
      </c>
      <c r="X866">
        <v>21.5</v>
      </c>
    </row>
    <row r="867" spans="1:24" ht="15">
      <c r="A867">
        <v>860</v>
      </c>
      <c r="B867">
        <v>39460</v>
      </c>
      <c r="C867" t="s">
        <v>2168</v>
      </c>
      <c r="D867" t="s">
        <v>12</v>
      </c>
      <c r="E867" t="s">
        <v>148</v>
      </c>
      <c r="F867" t="str">
        <f>"00461429"</f>
        <v>00461429</v>
      </c>
      <c r="G867">
        <v>16.35</v>
      </c>
      <c r="H867">
        <v>0</v>
      </c>
      <c r="I867">
        <v>0</v>
      </c>
      <c r="J867">
        <v>0</v>
      </c>
      <c r="K867">
        <v>0</v>
      </c>
      <c r="N867">
        <v>3</v>
      </c>
      <c r="O867">
        <v>3</v>
      </c>
      <c r="P867">
        <v>0</v>
      </c>
      <c r="Q867">
        <v>2</v>
      </c>
      <c r="R867">
        <v>21.35</v>
      </c>
      <c r="S867">
        <v>0</v>
      </c>
      <c r="T867">
        <v>0</v>
      </c>
      <c r="U867">
        <v>0</v>
      </c>
      <c r="V867">
        <v>0</v>
      </c>
      <c r="W867" t="s">
        <v>14</v>
      </c>
      <c r="X867">
        <v>21.35</v>
      </c>
    </row>
    <row r="868" spans="1:24" ht="15">
      <c r="A868">
        <v>861</v>
      </c>
      <c r="B868">
        <v>85091</v>
      </c>
      <c r="C868" t="s">
        <v>2169</v>
      </c>
      <c r="D868" t="s">
        <v>1540</v>
      </c>
      <c r="E868" t="s">
        <v>17</v>
      </c>
      <c r="F868" t="str">
        <f>"00324171"</f>
        <v>00324171</v>
      </c>
      <c r="G868">
        <v>17.28</v>
      </c>
      <c r="H868">
        <v>0</v>
      </c>
      <c r="I868">
        <v>0</v>
      </c>
      <c r="J868">
        <v>0</v>
      </c>
      <c r="K868">
        <v>0</v>
      </c>
      <c r="O868">
        <v>0</v>
      </c>
      <c r="P868">
        <v>4</v>
      </c>
      <c r="Q868">
        <v>0</v>
      </c>
      <c r="R868">
        <v>21.28</v>
      </c>
      <c r="S868">
        <v>0</v>
      </c>
      <c r="T868">
        <v>0</v>
      </c>
      <c r="U868">
        <v>0</v>
      </c>
      <c r="V868">
        <v>0</v>
      </c>
      <c r="W868" t="s">
        <v>14</v>
      </c>
      <c r="X868">
        <v>21.28</v>
      </c>
    </row>
    <row r="869" spans="1:24" ht="15">
      <c r="A869">
        <v>862</v>
      </c>
      <c r="B869">
        <v>106570</v>
      </c>
      <c r="C869" t="s">
        <v>2170</v>
      </c>
      <c r="D869" t="s">
        <v>21</v>
      </c>
      <c r="E869" t="s">
        <v>113</v>
      </c>
      <c r="F869" t="str">
        <f>"00296946"</f>
        <v>00296946</v>
      </c>
      <c r="G869">
        <v>17.28</v>
      </c>
      <c r="H869">
        <v>0</v>
      </c>
      <c r="I869">
        <v>0</v>
      </c>
      <c r="J869">
        <v>0</v>
      </c>
      <c r="K869">
        <v>0</v>
      </c>
      <c r="O869">
        <v>0</v>
      </c>
      <c r="P869">
        <v>4</v>
      </c>
      <c r="Q869">
        <v>0</v>
      </c>
      <c r="R869">
        <v>21.28</v>
      </c>
      <c r="S869">
        <v>0</v>
      </c>
      <c r="T869">
        <v>0</v>
      </c>
      <c r="U869">
        <v>0</v>
      </c>
      <c r="V869">
        <v>0</v>
      </c>
      <c r="W869" t="s">
        <v>14</v>
      </c>
      <c r="X869">
        <v>21.28</v>
      </c>
    </row>
    <row r="870" spans="1:24" ht="15">
      <c r="A870">
        <v>863</v>
      </c>
      <c r="B870">
        <v>92306</v>
      </c>
      <c r="C870" t="s">
        <v>2172</v>
      </c>
      <c r="D870" t="s">
        <v>44</v>
      </c>
      <c r="E870" t="s">
        <v>12</v>
      </c>
      <c r="F870" t="str">
        <f>"00643432"</f>
        <v>00643432</v>
      </c>
      <c r="G870">
        <v>16.25</v>
      </c>
      <c r="H870">
        <v>0</v>
      </c>
      <c r="I870">
        <v>0</v>
      </c>
      <c r="J870">
        <v>0</v>
      </c>
      <c r="K870">
        <v>0</v>
      </c>
      <c r="N870">
        <v>3</v>
      </c>
      <c r="O870">
        <v>3</v>
      </c>
      <c r="P870">
        <v>0</v>
      </c>
      <c r="Q870">
        <v>2</v>
      </c>
      <c r="R870">
        <v>21.25</v>
      </c>
      <c r="S870">
        <v>0</v>
      </c>
      <c r="T870">
        <v>0</v>
      </c>
      <c r="U870">
        <v>0</v>
      </c>
      <c r="V870">
        <v>0</v>
      </c>
      <c r="W870" t="s">
        <v>14</v>
      </c>
      <c r="X870">
        <v>21.25</v>
      </c>
    </row>
    <row r="871" spans="1:24" ht="15">
      <c r="A871">
        <v>864</v>
      </c>
      <c r="B871">
        <v>98170</v>
      </c>
      <c r="C871" t="s">
        <v>2173</v>
      </c>
      <c r="D871" t="s">
        <v>356</v>
      </c>
      <c r="E871" t="s">
        <v>12</v>
      </c>
      <c r="F871" t="str">
        <f>"00637258"</f>
        <v>00637258</v>
      </c>
      <c r="G871">
        <v>17.2</v>
      </c>
      <c r="H871">
        <v>0</v>
      </c>
      <c r="I871">
        <v>0</v>
      </c>
      <c r="J871">
        <v>0</v>
      </c>
      <c r="K871">
        <v>0</v>
      </c>
      <c r="O871">
        <v>0</v>
      </c>
      <c r="P871">
        <v>4</v>
      </c>
      <c r="Q871">
        <v>0</v>
      </c>
      <c r="R871">
        <v>21.2</v>
      </c>
      <c r="S871">
        <v>0</v>
      </c>
      <c r="T871">
        <v>0</v>
      </c>
      <c r="U871">
        <v>0</v>
      </c>
      <c r="V871">
        <v>0</v>
      </c>
      <c r="W871" t="s">
        <v>14</v>
      </c>
      <c r="X871">
        <v>21.2</v>
      </c>
    </row>
    <row r="872" spans="1:24" ht="15">
      <c r="A872">
        <v>865</v>
      </c>
      <c r="B872">
        <v>34673</v>
      </c>
      <c r="C872" t="s">
        <v>2174</v>
      </c>
      <c r="D872" t="s">
        <v>23</v>
      </c>
      <c r="E872" t="s">
        <v>27</v>
      </c>
      <c r="F872" t="str">
        <f>"00614460"</f>
        <v>00614460</v>
      </c>
      <c r="G872">
        <v>17.18</v>
      </c>
      <c r="H872">
        <v>0</v>
      </c>
      <c r="I872">
        <v>0</v>
      </c>
      <c r="J872">
        <v>0</v>
      </c>
      <c r="K872">
        <v>0</v>
      </c>
      <c r="O872">
        <v>0</v>
      </c>
      <c r="P872">
        <v>4</v>
      </c>
      <c r="Q872">
        <v>0</v>
      </c>
      <c r="R872">
        <v>21.18</v>
      </c>
      <c r="S872">
        <v>0</v>
      </c>
      <c r="T872">
        <v>0</v>
      </c>
      <c r="U872">
        <v>0</v>
      </c>
      <c r="V872">
        <v>0</v>
      </c>
      <c r="W872" t="s">
        <v>14</v>
      </c>
      <c r="X872">
        <v>21.18</v>
      </c>
    </row>
    <row r="873" spans="1:24" ht="15">
      <c r="A873">
        <v>866</v>
      </c>
      <c r="B873">
        <v>18261</v>
      </c>
      <c r="C873" t="s">
        <v>2175</v>
      </c>
      <c r="D873" t="s">
        <v>27</v>
      </c>
      <c r="E873" t="s">
        <v>30</v>
      </c>
      <c r="F873" t="str">
        <f>"00597102"</f>
        <v>00597102</v>
      </c>
      <c r="G873">
        <v>17.18</v>
      </c>
      <c r="H873">
        <v>0</v>
      </c>
      <c r="I873">
        <v>0</v>
      </c>
      <c r="J873">
        <v>0</v>
      </c>
      <c r="K873">
        <v>0</v>
      </c>
      <c r="O873">
        <v>0</v>
      </c>
      <c r="P873">
        <v>4</v>
      </c>
      <c r="Q873">
        <v>0</v>
      </c>
      <c r="R873">
        <v>21.18</v>
      </c>
      <c r="S873">
        <v>0</v>
      </c>
      <c r="T873">
        <v>0</v>
      </c>
      <c r="U873">
        <v>0</v>
      </c>
      <c r="V873">
        <v>0</v>
      </c>
      <c r="W873" t="s">
        <v>14</v>
      </c>
      <c r="X873">
        <v>21.18</v>
      </c>
    </row>
    <row r="874" spans="1:24" ht="15">
      <c r="A874">
        <v>867</v>
      </c>
      <c r="B874">
        <v>103300</v>
      </c>
      <c r="C874" t="s">
        <v>2176</v>
      </c>
      <c r="D874" t="s">
        <v>442</v>
      </c>
      <c r="E874" t="s">
        <v>201</v>
      </c>
      <c r="F874" t="str">
        <f>"00200129"</f>
        <v>00200129</v>
      </c>
      <c r="G874">
        <v>17.13</v>
      </c>
      <c r="H874">
        <v>0</v>
      </c>
      <c r="I874">
        <v>0</v>
      </c>
      <c r="J874">
        <v>0</v>
      </c>
      <c r="K874">
        <v>0</v>
      </c>
      <c r="O874">
        <v>0</v>
      </c>
      <c r="P874">
        <v>4</v>
      </c>
      <c r="Q874">
        <v>0</v>
      </c>
      <c r="R874">
        <v>21.13</v>
      </c>
      <c r="S874">
        <v>0</v>
      </c>
      <c r="T874">
        <v>0</v>
      </c>
      <c r="U874">
        <v>0</v>
      </c>
      <c r="V874">
        <v>0</v>
      </c>
      <c r="W874" t="s">
        <v>14</v>
      </c>
      <c r="X874">
        <v>21.13</v>
      </c>
    </row>
    <row r="875" spans="1:24" ht="15">
      <c r="A875">
        <v>868</v>
      </c>
      <c r="B875">
        <v>72957</v>
      </c>
      <c r="C875" t="s">
        <v>2178</v>
      </c>
      <c r="D875" t="s">
        <v>2179</v>
      </c>
      <c r="E875" t="s">
        <v>27</v>
      </c>
      <c r="F875" t="str">
        <f>"00189171"</f>
        <v>00189171</v>
      </c>
      <c r="G875">
        <v>17.08</v>
      </c>
      <c r="H875">
        <v>0</v>
      </c>
      <c r="I875">
        <v>0</v>
      </c>
      <c r="J875">
        <v>0</v>
      </c>
      <c r="K875">
        <v>0</v>
      </c>
      <c r="O875">
        <v>0</v>
      </c>
      <c r="P875">
        <v>4</v>
      </c>
      <c r="Q875">
        <v>0</v>
      </c>
      <c r="R875">
        <v>21.08</v>
      </c>
      <c r="S875">
        <v>0</v>
      </c>
      <c r="T875">
        <v>0</v>
      </c>
      <c r="U875">
        <v>0</v>
      </c>
      <c r="V875">
        <v>0</v>
      </c>
      <c r="W875" t="s">
        <v>14</v>
      </c>
      <c r="X875">
        <v>21.08</v>
      </c>
    </row>
    <row r="876" spans="1:24" ht="15">
      <c r="A876">
        <v>869</v>
      </c>
      <c r="B876">
        <v>9616</v>
      </c>
      <c r="C876" t="s">
        <v>2181</v>
      </c>
      <c r="D876" t="s">
        <v>2182</v>
      </c>
      <c r="E876" t="s">
        <v>2183</v>
      </c>
      <c r="F876" t="str">
        <f>"00444606"</f>
        <v>00444606</v>
      </c>
      <c r="G876">
        <v>17.05</v>
      </c>
      <c r="H876">
        <v>0</v>
      </c>
      <c r="I876">
        <v>0</v>
      </c>
      <c r="J876">
        <v>0</v>
      </c>
      <c r="K876">
        <v>0</v>
      </c>
      <c r="O876">
        <v>0</v>
      </c>
      <c r="P876">
        <v>4</v>
      </c>
      <c r="Q876">
        <v>0</v>
      </c>
      <c r="R876">
        <v>21.05</v>
      </c>
      <c r="S876">
        <v>0</v>
      </c>
      <c r="T876">
        <v>0</v>
      </c>
      <c r="U876">
        <v>0</v>
      </c>
      <c r="V876">
        <v>0</v>
      </c>
      <c r="W876" t="s">
        <v>14</v>
      </c>
      <c r="X876">
        <v>21.05</v>
      </c>
    </row>
    <row r="877" spans="1:24" ht="15">
      <c r="A877">
        <v>870</v>
      </c>
      <c r="B877">
        <v>110997</v>
      </c>
      <c r="C877" t="s">
        <v>2184</v>
      </c>
      <c r="D877" t="s">
        <v>29</v>
      </c>
      <c r="E877" t="s">
        <v>12</v>
      </c>
      <c r="F877" t="str">
        <f>"00604040"</f>
        <v>00604040</v>
      </c>
      <c r="G877">
        <v>18</v>
      </c>
      <c r="H877">
        <v>0</v>
      </c>
      <c r="I877">
        <v>0</v>
      </c>
      <c r="J877">
        <v>0</v>
      </c>
      <c r="K877">
        <v>0</v>
      </c>
      <c r="O877">
        <v>0</v>
      </c>
      <c r="P877">
        <v>0</v>
      </c>
      <c r="Q877">
        <v>0</v>
      </c>
      <c r="R877">
        <v>18</v>
      </c>
      <c r="S877">
        <v>0</v>
      </c>
      <c r="T877">
        <v>0</v>
      </c>
      <c r="U877">
        <v>3</v>
      </c>
      <c r="V877">
        <v>0</v>
      </c>
      <c r="W877" t="s">
        <v>14</v>
      </c>
      <c r="X877">
        <v>21</v>
      </c>
    </row>
    <row r="878" spans="1:24" ht="15">
      <c r="A878">
        <v>871</v>
      </c>
      <c r="B878">
        <v>93754</v>
      </c>
      <c r="C878" t="s">
        <v>2185</v>
      </c>
      <c r="D878" t="s">
        <v>2186</v>
      </c>
      <c r="E878" t="s">
        <v>21</v>
      </c>
      <c r="F878" t="str">
        <f>"00644622"</f>
        <v>00644622</v>
      </c>
      <c r="G878">
        <v>17</v>
      </c>
      <c r="H878">
        <v>0</v>
      </c>
      <c r="I878">
        <v>0</v>
      </c>
      <c r="J878">
        <v>0</v>
      </c>
      <c r="K878">
        <v>0</v>
      </c>
      <c r="O878">
        <v>0</v>
      </c>
      <c r="P878">
        <v>4</v>
      </c>
      <c r="Q878">
        <v>0</v>
      </c>
      <c r="R878">
        <v>21</v>
      </c>
      <c r="S878">
        <v>0</v>
      </c>
      <c r="T878">
        <v>0</v>
      </c>
      <c r="U878">
        <v>0</v>
      </c>
      <c r="V878">
        <v>0</v>
      </c>
      <c r="W878" t="s">
        <v>14</v>
      </c>
      <c r="X878">
        <v>21</v>
      </c>
    </row>
    <row r="879" spans="1:24" ht="15">
      <c r="A879">
        <v>872</v>
      </c>
      <c r="B879">
        <v>22509</v>
      </c>
      <c r="C879" t="s">
        <v>2187</v>
      </c>
      <c r="D879" t="s">
        <v>151</v>
      </c>
      <c r="E879" t="s">
        <v>288</v>
      </c>
      <c r="F879" t="str">
        <f>"201502002035"</f>
        <v>201502002035</v>
      </c>
      <c r="G879">
        <v>15</v>
      </c>
      <c r="H879">
        <v>0</v>
      </c>
      <c r="I879">
        <v>0</v>
      </c>
      <c r="J879">
        <v>0</v>
      </c>
      <c r="K879">
        <v>0</v>
      </c>
      <c r="O879">
        <v>0</v>
      </c>
      <c r="P879">
        <v>4</v>
      </c>
      <c r="Q879">
        <v>2</v>
      </c>
      <c r="R879">
        <v>21</v>
      </c>
      <c r="S879">
        <v>0</v>
      </c>
      <c r="T879">
        <v>0</v>
      </c>
      <c r="U879">
        <v>0</v>
      </c>
      <c r="V879">
        <v>0</v>
      </c>
      <c r="W879" t="s">
        <v>14</v>
      </c>
      <c r="X879">
        <v>21</v>
      </c>
    </row>
    <row r="880" spans="1:24" ht="15">
      <c r="A880">
        <v>873</v>
      </c>
      <c r="B880">
        <v>93488</v>
      </c>
      <c r="C880" t="s">
        <v>2188</v>
      </c>
      <c r="D880" t="s">
        <v>1907</v>
      </c>
      <c r="E880" t="s">
        <v>2189</v>
      </c>
      <c r="F880" t="str">
        <f>"00639480"</f>
        <v>00639480</v>
      </c>
      <c r="G880">
        <v>16.98</v>
      </c>
      <c r="H880">
        <v>0</v>
      </c>
      <c r="I880">
        <v>0</v>
      </c>
      <c r="J880">
        <v>0</v>
      </c>
      <c r="K880">
        <v>0</v>
      </c>
      <c r="O880">
        <v>0</v>
      </c>
      <c r="P880">
        <v>4</v>
      </c>
      <c r="Q880">
        <v>0</v>
      </c>
      <c r="R880">
        <v>20.98</v>
      </c>
      <c r="S880">
        <v>0</v>
      </c>
      <c r="T880">
        <v>0</v>
      </c>
      <c r="U880">
        <v>0</v>
      </c>
      <c r="V880">
        <v>0</v>
      </c>
      <c r="W880" t="s">
        <v>14</v>
      </c>
      <c r="X880">
        <v>20.98</v>
      </c>
    </row>
    <row r="881" spans="1:24" ht="15">
      <c r="A881">
        <v>874</v>
      </c>
      <c r="B881">
        <v>64941</v>
      </c>
      <c r="C881" t="s">
        <v>2190</v>
      </c>
      <c r="D881" t="s">
        <v>513</v>
      </c>
      <c r="E881" t="s">
        <v>120</v>
      </c>
      <c r="F881" t="str">
        <f>"00481006"</f>
        <v>00481006</v>
      </c>
      <c r="G881">
        <v>16.9</v>
      </c>
      <c r="H881">
        <v>0</v>
      </c>
      <c r="I881">
        <v>0</v>
      </c>
      <c r="J881">
        <v>0</v>
      </c>
      <c r="K881">
        <v>0</v>
      </c>
      <c r="O881">
        <v>0</v>
      </c>
      <c r="P881">
        <v>4</v>
      </c>
      <c r="Q881">
        <v>0</v>
      </c>
      <c r="R881">
        <v>20.9</v>
      </c>
      <c r="S881">
        <v>0</v>
      </c>
      <c r="T881">
        <v>0</v>
      </c>
      <c r="U881">
        <v>0</v>
      </c>
      <c r="V881">
        <v>0</v>
      </c>
      <c r="W881" t="s">
        <v>14</v>
      </c>
      <c r="X881">
        <v>20.9</v>
      </c>
    </row>
    <row r="882" spans="1:24" ht="15">
      <c r="A882">
        <v>875</v>
      </c>
      <c r="B882">
        <v>112889</v>
      </c>
      <c r="C882" t="s">
        <v>2191</v>
      </c>
      <c r="D882" t="s">
        <v>13</v>
      </c>
      <c r="E882" t="s">
        <v>155</v>
      </c>
      <c r="F882" t="str">
        <f>"00466224"</f>
        <v>00466224</v>
      </c>
      <c r="G882">
        <v>17.88</v>
      </c>
      <c r="H882">
        <v>0</v>
      </c>
      <c r="I882">
        <v>0</v>
      </c>
      <c r="J882">
        <v>0</v>
      </c>
      <c r="K882">
        <v>0</v>
      </c>
      <c r="O882">
        <v>0</v>
      </c>
      <c r="P882">
        <v>0</v>
      </c>
      <c r="Q882">
        <v>0</v>
      </c>
      <c r="R882">
        <v>17.88</v>
      </c>
      <c r="S882">
        <v>0</v>
      </c>
      <c r="T882">
        <v>0</v>
      </c>
      <c r="U882">
        <v>3</v>
      </c>
      <c r="V882">
        <v>0</v>
      </c>
      <c r="W882" t="s">
        <v>14</v>
      </c>
      <c r="X882">
        <v>20.88</v>
      </c>
    </row>
    <row r="883" spans="1:24" ht="15">
      <c r="A883">
        <v>876</v>
      </c>
      <c r="B883">
        <v>31696</v>
      </c>
      <c r="C883" t="s">
        <v>2192</v>
      </c>
      <c r="D883" t="s">
        <v>2193</v>
      </c>
      <c r="E883" t="s">
        <v>2189</v>
      </c>
      <c r="F883" t="str">
        <f>"00233298"</f>
        <v>00233298</v>
      </c>
      <c r="G883">
        <v>16.88</v>
      </c>
      <c r="H883">
        <v>0</v>
      </c>
      <c r="I883">
        <v>0</v>
      </c>
      <c r="J883">
        <v>0</v>
      </c>
      <c r="K883">
        <v>0</v>
      </c>
      <c r="O883">
        <v>0</v>
      </c>
      <c r="P883">
        <v>4</v>
      </c>
      <c r="Q883">
        <v>0</v>
      </c>
      <c r="R883">
        <v>20.88</v>
      </c>
      <c r="S883">
        <v>0</v>
      </c>
      <c r="T883">
        <v>0</v>
      </c>
      <c r="U883">
        <v>0</v>
      </c>
      <c r="V883">
        <v>0</v>
      </c>
      <c r="W883" t="s">
        <v>14</v>
      </c>
      <c r="X883">
        <v>20.88</v>
      </c>
    </row>
    <row r="884" spans="1:24" ht="15">
      <c r="A884">
        <v>877</v>
      </c>
      <c r="B884">
        <v>74609</v>
      </c>
      <c r="C884" t="s">
        <v>2194</v>
      </c>
      <c r="D884" t="s">
        <v>17</v>
      </c>
      <c r="E884" t="s">
        <v>23</v>
      </c>
      <c r="F884" t="str">
        <f>"00637269"</f>
        <v>00637269</v>
      </c>
      <c r="G884">
        <v>16.78</v>
      </c>
      <c r="H884">
        <v>0</v>
      </c>
      <c r="I884">
        <v>0</v>
      </c>
      <c r="J884">
        <v>0</v>
      </c>
      <c r="K884">
        <v>0</v>
      </c>
      <c r="O884">
        <v>0</v>
      </c>
      <c r="P884">
        <v>4</v>
      </c>
      <c r="Q884">
        <v>0</v>
      </c>
      <c r="R884">
        <v>20.78</v>
      </c>
      <c r="S884">
        <v>0</v>
      </c>
      <c r="T884">
        <v>0</v>
      </c>
      <c r="U884">
        <v>0</v>
      </c>
      <c r="V884">
        <v>0</v>
      </c>
      <c r="W884" t="s">
        <v>14</v>
      </c>
      <c r="X884">
        <v>20.78</v>
      </c>
    </row>
    <row r="885" spans="1:24" ht="15">
      <c r="A885">
        <v>878</v>
      </c>
      <c r="B885">
        <v>47789</v>
      </c>
      <c r="C885" t="s">
        <v>2195</v>
      </c>
      <c r="D885" t="s">
        <v>29</v>
      </c>
      <c r="E885" t="s">
        <v>614</v>
      </c>
      <c r="F885" t="str">
        <f>"00624238"</f>
        <v>00624238</v>
      </c>
      <c r="G885">
        <v>16.78</v>
      </c>
      <c r="H885">
        <v>0</v>
      </c>
      <c r="I885">
        <v>0</v>
      </c>
      <c r="J885">
        <v>0</v>
      </c>
      <c r="K885">
        <v>0</v>
      </c>
      <c r="O885">
        <v>0</v>
      </c>
      <c r="P885">
        <v>4</v>
      </c>
      <c r="Q885">
        <v>0</v>
      </c>
      <c r="R885">
        <v>20.78</v>
      </c>
      <c r="S885">
        <v>0</v>
      </c>
      <c r="T885">
        <v>0</v>
      </c>
      <c r="U885">
        <v>0</v>
      </c>
      <c r="V885">
        <v>0</v>
      </c>
      <c r="W885" t="s">
        <v>14</v>
      </c>
      <c r="X885">
        <v>20.78</v>
      </c>
    </row>
    <row r="886" spans="1:24" ht="15">
      <c r="A886">
        <v>879</v>
      </c>
      <c r="B886">
        <v>40122</v>
      </c>
      <c r="C886" t="s">
        <v>2198</v>
      </c>
      <c r="D886" t="s">
        <v>2199</v>
      </c>
      <c r="E886" t="s">
        <v>53</v>
      </c>
      <c r="F886" t="str">
        <f>"00222239"</f>
        <v>00222239</v>
      </c>
      <c r="G886">
        <v>20.75</v>
      </c>
      <c r="H886">
        <v>0</v>
      </c>
      <c r="I886">
        <v>0</v>
      </c>
      <c r="J886">
        <v>0</v>
      </c>
      <c r="K886">
        <v>0</v>
      </c>
      <c r="O886">
        <v>0</v>
      </c>
      <c r="P886">
        <v>0</v>
      </c>
      <c r="Q886">
        <v>0</v>
      </c>
      <c r="R886">
        <v>20.75</v>
      </c>
      <c r="S886">
        <v>0</v>
      </c>
      <c r="T886">
        <v>0</v>
      </c>
      <c r="U886">
        <v>0</v>
      </c>
      <c r="V886">
        <v>0</v>
      </c>
      <c r="W886" t="s">
        <v>14</v>
      </c>
      <c r="X886">
        <v>20.75</v>
      </c>
    </row>
    <row r="887" spans="1:24" ht="15">
      <c r="A887">
        <v>880</v>
      </c>
      <c r="B887">
        <v>1238</v>
      </c>
      <c r="C887" t="s">
        <v>2200</v>
      </c>
      <c r="D887" t="s">
        <v>75</v>
      </c>
      <c r="E887" t="s">
        <v>151</v>
      </c>
      <c r="F887" t="str">
        <f>"00226042"</f>
        <v>00226042</v>
      </c>
      <c r="G887">
        <v>16.73</v>
      </c>
      <c r="H887">
        <v>0</v>
      </c>
      <c r="I887">
        <v>0</v>
      </c>
      <c r="J887">
        <v>0</v>
      </c>
      <c r="K887">
        <v>0</v>
      </c>
      <c r="O887">
        <v>0</v>
      </c>
      <c r="P887">
        <v>4</v>
      </c>
      <c r="Q887">
        <v>0</v>
      </c>
      <c r="R887">
        <v>20.73</v>
      </c>
      <c r="S887">
        <v>0</v>
      </c>
      <c r="T887">
        <v>0</v>
      </c>
      <c r="U887">
        <v>0</v>
      </c>
      <c r="V887">
        <v>0</v>
      </c>
      <c r="W887" t="s">
        <v>14</v>
      </c>
      <c r="X887">
        <v>20.73</v>
      </c>
    </row>
    <row r="888" spans="1:24" ht="15">
      <c r="A888">
        <v>881</v>
      </c>
      <c r="B888">
        <v>28905</v>
      </c>
      <c r="C888" t="s">
        <v>2201</v>
      </c>
      <c r="D888" t="s">
        <v>442</v>
      </c>
      <c r="E888" t="s">
        <v>30</v>
      </c>
      <c r="F888" t="str">
        <f>"00108886"</f>
        <v>00108886</v>
      </c>
      <c r="G888">
        <v>20.65</v>
      </c>
      <c r="H888">
        <v>0</v>
      </c>
      <c r="I888">
        <v>0</v>
      </c>
      <c r="J888">
        <v>0</v>
      </c>
      <c r="K888">
        <v>0</v>
      </c>
      <c r="O888">
        <v>0</v>
      </c>
      <c r="P888">
        <v>0</v>
      </c>
      <c r="Q888">
        <v>0</v>
      </c>
      <c r="R888">
        <v>20.65</v>
      </c>
      <c r="S888">
        <v>0</v>
      </c>
      <c r="T888">
        <v>0</v>
      </c>
      <c r="U888">
        <v>0</v>
      </c>
      <c r="V888">
        <v>0</v>
      </c>
      <c r="W888" t="s">
        <v>14</v>
      </c>
      <c r="X888">
        <v>20.65</v>
      </c>
    </row>
    <row r="889" spans="1:24" ht="15">
      <c r="A889">
        <v>882</v>
      </c>
      <c r="B889">
        <v>33245</v>
      </c>
      <c r="C889" t="s">
        <v>307</v>
      </c>
      <c r="D889" t="s">
        <v>2202</v>
      </c>
      <c r="E889" t="s">
        <v>51</v>
      </c>
      <c r="F889" t="str">
        <f>"00619703"</f>
        <v>00619703</v>
      </c>
      <c r="G889">
        <v>16.65</v>
      </c>
      <c r="H889">
        <v>0</v>
      </c>
      <c r="I889">
        <v>0</v>
      </c>
      <c r="J889">
        <v>0</v>
      </c>
      <c r="K889">
        <v>0</v>
      </c>
      <c r="O889">
        <v>0</v>
      </c>
      <c r="P889">
        <v>4</v>
      </c>
      <c r="Q889">
        <v>0</v>
      </c>
      <c r="R889">
        <v>20.65</v>
      </c>
      <c r="S889">
        <v>0</v>
      </c>
      <c r="T889">
        <v>0</v>
      </c>
      <c r="U889">
        <v>0</v>
      </c>
      <c r="V889">
        <v>0</v>
      </c>
      <c r="W889" t="s">
        <v>14</v>
      </c>
      <c r="X889">
        <v>20.65</v>
      </c>
    </row>
    <row r="890" spans="1:24" ht="15">
      <c r="A890">
        <v>883</v>
      </c>
      <c r="B890">
        <v>93059</v>
      </c>
      <c r="C890" t="s">
        <v>2204</v>
      </c>
      <c r="D890" t="s">
        <v>215</v>
      </c>
      <c r="E890" t="s">
        <v>27</v>
      </c>
      <c r="F890" t="str">
        <f>"00648889"</f>
        <v>00648889</v>
      </c>
      <c r="G890">
        <v>16.55</v>
      </c>
      <c r="H890">
        <v>0</v>
      </c>
      <c r="I890">
        <v>0</v>
      </c>
      <c r="J890">
        <v>0</v>
      </c>
      <c r="K890">
        <v>0</v>
      </c>
      <c r="O890">
        <v>0</v>
      </c>
      <c r="P890">
        <v>4</v>
      </c>
      <c r="Q890">
        <v>0</v>
      </c>
      <c r="R890">
        <v>20.55</v>
      </c>
      <c r="S890">
        <v>0</v>
      </c>
      <c r="T890">
        <v>0</v>
      </c>
      <c r="U890">
        <v>0</v>
      </c>
      <c r="V890">
        <v>0</v>
      </c>
      <c r="W890" t="s">
        <v>14</v>
      </c>
      <c r="X890">
        <v>20.55</v>
      </c>
    </row>
    <row r="891" spans="1:24" ht="15">
      <c r="A891">
        <v>884</v>
      </c>
      <c r="B891">
        <v>22056</v>
      </c>
      <c r="C891" t="s">
        <v>2205</v>
      </c>
      <c r="D891" t="s">
        <v>390</v>
      </c>
      <c r="E891" t="s">
        <v>53</v>
      </c>
      <c r="F891" t="str">
        <f>"00582737"</f>
        <v>00582737</v>
      </c>
      <c r="G891">
        <v>13.55</v>
      </c>
      <c r="H891">
        <v>0</v>
      </c>
      <c r="I891">
        <v>0</v>
      </c>
      <c r="J891">
        <v>0</v>
      </c>
      <c r="K891">
        <v>0</v>
      </c>
      <c r="L891">
        <v>7</v>
      </c>
      <c r="O891">
        <v>7</v>
      </c>
      <c r="P891">
        <v>0</v>
      </c>
      <c r="Q891">
        <v>0</v>
      </c>
      <c r="R891">
        <v>20.55</v>
      </c>
      <c r="S891">
        <v>0</v>
      </c>
      <c r="T891">
        <v>0</v>
      </c>
      <c r="U891">
        <v>0</v>
      </c>
      <c r="V891">
        <v>0</v>
      </c>
      <c r="W891" t="s">
        <v>14</v>
      </c>
      <c r="X891">
        <v>20.55</v>
      </c>
    </row>
    <row r="892" spans="1:24" ht="15">
      <c r="A892">
        <v>885</v>
      </c>
      <c r="B892">
        <v>49143</v>
      </c>
      <c r="C892" t="s">
        <v>2207</v>
      </c>
      <c r="D892" t="s">
        <v>16</v>
      </c>
      <c r="E892" t="s">
        <v>17</v>
      </c>
      <c r="F892" t="str">
        <f>"201409002191"</f>
        <v>201409002191</v>
      </c>
      <c r="G892">
        <v>16.53</v>
      </c>
      <c r="H892">
        <v>0</v>
      </c>
      <c r="I892">
        <v>0</v>
      </c>
      <c r="J892">
        <v>0</v>
      </c>
      <c r="K892">
        <v>0</v>
      </c>
      <c r="O892">
        <v>0</v>
      </c>
      <c r="P892">
        <v>4</v>
      </c>
      <c r="Q892">
        <v>0</v>
      </c>
      <c r="R892">
        <v>20.53</v>
      </c>
      <c r="S892">
        <v>0</v>
      </c>
      <c r="T892">
        <v>0</v>
      </c>
      <c r="U892">
        <v>0</v>
      </c>
      <c r="V892">
        <v>0</v>
      </c>
      <c r="W892" t="s">
        <v>14</v>
      </c>
      <c r="X892">
        <v>20.53</v>
      </c>
    </row>
    <row r="893" spans="1:24" ht="15">
      <c r="A893">
        <v>886</v>
      </c>
      <c r="B893">
        <v>29259</v>
      </c>
      <c r="C893" t="s">
        <v>2208</v>
      </c>
      <c r="D893" t="s">
        <v>2209</v>
      </c>
      <c r="E893" t="s">
        <v>53</v>
      </c>
      <c r="F893" t="str">
        <f>"00603320"</f>
        <v>00603320</v>
      </c>
      <c r="G893">
        <v>17.48</v>
      </c>
      <c r="H893">
        <v>0</v>
      </c>
      <c r="I893">
        <v>0</v>
      </c>
      <c r="J893">
        <v>0</v>
      </c>
      <c r="K893">
        <v>0</v>
      </c>
      <c r="N893">
        <v>3</v>
      </c>
      <c r="O893">
        <v>3</v>
      </c>
      <c r="P893">
        <v>0</v>
      </c>
      <c r="Q893">
        <v>0</v>
      </c>
      <c r="R893">
        <v>20.48</v>
      </c>
      <c r="S893">
        <v>0</v>
      </c>
      <c r="T893">
        <v>0</v>
      </c>
      <c r="U893">
        <v>0</v>
      </c>
      <c r="V893">
        <v>0</v>
      </c>
      <c r="W893" t="s">
        <v>14</v>
      </c>
      <c r="X893">
        <v>20.48</v>
      </c>
    </row>
    <row r="894" spans="1:24" ht="15">
      <c r="A894">
        <v>887</v>
      </c>
      <c r="B894">
        <v>5907</v>
      </c>
      <c r="C894" t="s">
        <v>2212</v>
      </c>
      <c r="D894" t="s">
        <v>12</v>
      </c>
      <c r="E894" t="s">
        <v>80</v>
      </c>
      <c r="F894" t="str">
        <f>"00246479"</f>
        <v>00246479</v>
      </c>
      <c r="G894">
        <v>16.43</v>
      </c>
      <c r="H894">
        <v>0</v>
      </c>
      <c r="I894">
        <v>0</v>
      </c>
      <c r="J894">
        <v>0</v>
      </c>
      <c r="K894">
        <v>0</v>
      </c>
      <c r="O894">
        <v>0</v>
      </c>
      <c r="P894">
        <v>4</v>
      </c>
      <c r="Q894">
        <v>0</v>
      </c>
      <c r="R894">
        <v>20.43</v>
      </c>
      <c r="S894">
        <v>0</v>
      </c>
      <c r="T894">
        <v>0</v>
      </c>
      <c r="U894">
        <v>0</v>
      </c>
      <c r="V894">
        <v>0</v>
      </c>
      <c r="W894" t="s">
        <v>14</v>
      </c>
      <c r="X894">
        <v>20.43</v>
      </c>
    </row>
    <row r="895" spans="1:24" ht="15">
      <c r="A895">
        <v>888</v>
      </c>
      <c r="B895">
        <v>112167</v>
      </c>
      <c r="C895" t="s">
        <v>2213</v>
      </c>
      <c r="D895" t="s">
        <v>2214</v>
      </c>
      <c r="E895" t="s">
        <v>408</v>
      </c>
      <c r="F895" t="str">
        <f>"00621019"</f>
        <v>00621019</v>
      </c>
      <c r="G895">
        <v>17.38</v>
      </c>
      <c r="H895">
        <v>0</v>
      </c>
      <c r="I895">
        <v>0</v>
      </c>
      <c r="J895">
        <v>0</v>
      </c>
      <c r="K895">
        <v>0</v>
      </c>
      <c r="O895">
        <v>0</v>
      </c>
      <c r="P895">
        <v>0</v>
      </c>
      <c r="Q895">
        <v>0</v>
      </c>
      <c r="R895">
        <v>17.38</v>
      </c>
      <c r="S895">
        <v>0</v>
      </c>
      <c r="T895">
        <v>0</v>
      </c>
      <c r="U895">
        <v>3</v>
      </c>
      <c r="V895">
        <v>0</v>
      </c>
      <c r="W895" t="s">
        <v>14</v>
      </c>
      <c r="X895">
        <v>20.38</v>
      </c>
    </row>
    <row r="896" spans="1:24" ht="15">
      <c r="A896">
        <v>889</v>
      </c>
      <c r="B896">
        <v>101757</v>
      </c>
      <c r="C896" t="s">
        <v>2217</v>
      </c>
      <c r="D896" t="s">
        <v>442</v>
      </c>
      <c r="E896" t="s">
        <v>12</v>
      </c>
      <c r="F896" t="str">
        <f>"00159667"</f>
        <v>00159667</v>
      </c>
      <c r="G896">
        <v>16.35</v>
      </c>
      <c r="H896">
        <v>0</v>
      </c>
      <c r="I896">
        <v>0</v>
      </c>
      <c r="J896">
        <v>0</v>
      </c>
      <c r="K896">
        <v>0</v>
      </c>
      <c r="O896">
        <v>0</v>
      </c>
      <c r="P896">
        <v>4</v>
      </c>
      <c r="Q896">
        <v>0</v>
      </c>
      <c r="R896">
        <v>20.35</v>
      </c>
      <c r="S896">
        <v>0</v>
      </c>
      <c r="T896">
        <v>0</v>
      </c>
      <c r="U896">
        <v>0</v>
      </c>
      <c r="V896">
        <v>0</v>
      </c>
      <c r="W896" t="s">
        <v>14</v>
      </c>
      <c r="X896">
        <v>20.35</v>
      </c>
    </row>
    <row r="897" spans="1:24" ht="15">
      <c r="A897">
        <v>890</v>
      </c>
      <c r="B897">
        <v>13327</v>
      </c>
      <c r="C897" t="s">
        <v>2218</v>
      </c>
      <c r="D897" t="s">
        <v>875</v>
      </c>
      <c r="E897" t="s">
        <v>23</v>
      </c>
      <c r="F897" t="str">
        <f>"00172698"</f>
        <v>00172698</v>
      </c>
      <c r="G897">
        <v>14.35</v>
      </c>
      <c r="H897">
        <v>0</v>
      </c>
      <c r="I897">
        <v>0</v>
      </c>
      <c r="J897">
        <v>0</v>
      </c>
      <c r="K897">
        <v>0</v>
      </c>
      <c r="O897">
        <v>0</v>
      </c>
      <c r="P897">
        <v>4</v>
      </c>
      <c r="Q897">
        <v>2</v>
      </c>
      <c r="R897">
        <v>20.35</v>
      </c>
      <c r="S897">
        <v>0</v>
      </c>
      <c r="T897">
        <v>0</v>
      </c>
      <c r="U897">
        <v>0</v>
      </c>
      <c r="V897">
        <v>0</v>
      </c>
      <c r="W897" t="s">
        <v>14</v>
      </c>
      <c r="X897">
        <v>20.35</v>
      </c>
    </row>
    <row r="898" spans="1:24" ht="15">
      <c r="A898">
        <v>891</v>
      </c>
      <c r="B898">
        <v>20726</v>
      </c>
      <c r="C898" t="s">
        <v>2219</v>
      </c>
      <c r="D898" t="s">
        <v>873</v>
      </c>
      <c r="E898" t="s">
        <v>12</v>
      </c>
      <c r="F898" t="str">
        <f>"00541190"</f>
        <v>00541190</v>
      </c>
      <c r="G898">
        <v>16.33</v>
      </c>
      <c r="H898">
        <v>0</v>
      </c>
      <c r="I898">
        <v>0</v>
      </c>
      <c r="J898">
        <v>0</v>
      </c>
      <c r="K898">
        <v>0</v>
      </c>
      <c r="O898">
        <v>0</v>
      </c>
      <c r="P898">
        <v>4</v>
      </c>
      <c r="Q898">
        <v>0</v>
      </c>
      <c r="R898">
        <v>20.33</v>
      </c>
      <c r="S898">
        <v>0</v>
      </c>
      <c r="T898">
        <v>0</v>
      </c>
      <c r="U898">
        <v>0</v>
      </c>
      <c r="V898">
        <v>0</v>
      </c>
      <c r="W898" t="s">
        <v>14</v>
      </c>
      <c r="X898">
        <v>20.33</v>
      </c>
    </row>
    <row r="899" spans="1:24" ht="15">
      <c r="A899">
        <v>892</v>
      </c>
      <c r="B899">
        <v>43093</v>
      </c>
      <c r="C899" t="s">
        <v>2220</v>
      </c>
      <c r="D899" t="s">
        <v>135</v>
      </c>
      <c r="E899" t="s">
        <v>23</v>
      </c>
      <c r="F899" t="str">
        <f>"00430778"</f>
        <v>00430778</v>
      </c>
      <c r="G899">
        <v>16.28</v>
      </c>
      <c r="H899">
        <v>0</v>
      </c>
      <c r="I899">
        <v>0</v>
      </c>
      <c r="J899">
        <v>0</v>
      </c>
      <c r="K899">
        <v>0</v>
      </c>
      <c r="O899">
        <v>0</v>
      </c>
      <c r="P899">
        <v>4</v>
      </c>
      <c r="Q899">
        <v>0</v>
      </c>
      <c r="R899">
        <v>20.28</v>
      </c>
      <c r="S899">
        <v>0</v>
      </c>
      <c r="T899">
        <v>0</v>
      </c>
      <c r="U899">
        <v>0</v>
      </c>
      <c r="V899">
        <v>0</v>
      </c>
      <c r="W899" t="s">
        <v>14</v>
      </c>
      <c r="X899">
        <v>20.28</v>
      </c>
    </row>
    <row r="900" spans="1:24" ht="15">
      <c r="A900">
        <v>893</v>
      </c>
      <c r="B900">
        <v>113351</v>
      </c>
      <c r="C900" t="s">
        <v>2221</v>
      </c>
      <c r="D900" t="s">
        <v>407</v>
      </c>
      <c r="E900" t="s">
        <v>124</v>
      </c>
      <c r="F900" t="str">
        <f>"00651406"</f>
        <v>00651406</v>
      </c>
      <c r="G900">
        <v>17.25</v>
      </c>
      <c r="H900">
        <v>0</v>
      </c>
      <c r="I900">
        <v>0</v>
      </c>
      <c r="J900">
        <v>0</v>
      </c>
      <c r="K900">
        <v>0</v>
      </c>
      <c r="N900">
        <v>3</v>
      </c>
      <c r="O900">
        <v>3</v>
      </c>
      <c r="P900">
        <v>0</v>
      </c>
      <c r="Q900">
        <v>0</v>
      </c>
      <c r="R900">
        <v>20.25</v>
      </c>
      <c r="S900">
        <v>0</v>
      </c>
      <c r="T900">
        <v>0</v>
      </c>
      <c r="U900">
        <v>0</v>
      </c>
      <c r="V900">
        <v>0</v>
      </c>
      <c r="W900" t="s">
        <v>14</v>
      </c>
      <c r="X900">
        <v>20.25</v>
      </c>
    </row>
    <row r="901" spans="1:24" ht="15">
      <c r="A901">
        <v>894</v>
      </c>
      <c r="B901">
        <v>61005</v>
      </c>
      <c r="C901" t="s">
        <v>2222</v>
      </c>
      <c r="D901" t="s">
        <v>122</v>
      </c>
      <c r="E901" t="s">
        <v>91</v>
      </c>
      <c r="F901" t="str">
        <f>"00607329"</f>
        <v>00607329</v>
      </c>
      <c r="G901">
        <v>16.25</v>
      </c>
      <c r="H901">
        <v>0</v>
      </c>
      <c r="I901">
        <v>0</v>
      </c>
      <c r="J901">
        <v>0</v>
      </c>
      <c r="K901">
        <v>0</v>
      </c>
      <c r="O901">
        <v>0</v>
      </c>
      <c r="P901">
        <v>4</v>
      </c>
      <c r="Q901">
        <v>0</v>
      </c>
      <c r="R901">
        <v>20.25</v>
      </c>
      <c r="S901">
        <v>0</v>
      </c>
      <c r="T901">
        <v>0</v>
      </c>
      <c r="U901">
        <v>0</v>
      </c>
      <c r="V901">
        <v>0</v>
      </c>
      <c r="W901" t="s">
        <v>14</v>
      </c>
      <c r="X901">
        <v>20.25</v>
      </c>
    </row>
    <row r="902" spans="1:24" ht="15">
      <c r="A902">
        <v>895</v>
      </c>
      <c r="B902">
        <v>20765</v>
      </c>
      <c r="C902" t="s">
        <v>2223</v>
      </c>
      <c r="D902" t="s">
        <v>12</v>
      </c>
      <c r="E902" t="s">
        <v>201</v>
      </c>
      <c r="F902" t="str">
        <f>"00587351"</f>
        <v>00587351</v>
      </c>
      <c r="G902">
        <v>16.25</v>
      </c>
      <c r="H902">
        <v>0</v>
      </c>
      <c r="I902">
        <v>0</v>
      </c>
      <c r="J902">
        <v>0</v>
      </c>
      <c r="K902">
        <v>0</v>
      </c>
      <c r="O902">
        <v>0</v>
      </c>
      <c r="P902">
        <v>4</v>
      </c>
      <c r="Q902">
        <v>0</v>
      </c>
      <c r="R902">
        <v>20.25</v>
      </c>
      <c r="S902">
        <v>0</v>
      </c>
      <c r="T902">
        <v>0</v>
      </c>
      <c r="U902">
        <v>0</v>
      </c>
      <c r="V902">
        <v>0</v>
      </c>
      <c r="W902" t="s">
        <v>14</v>
      </c>
      <c r="X902">
        <v>20.25</v>
      </c>
    </row>
    <row r="903" spans="1:24" ht="15">
      <c r="A903">
        <v>896</v>
      </c>
      <c r="B903">
        <v>64759</v>
      </c>
      <c r="C903" t="s">
        <v>2225</v>
      </c>
      <c r="D903" t="s">
        <v>60</v>
      </c>
      <c r="E903" t="s">
        <v>284</v>
      </c>
      <c r="F903" t="str">
        <f>"00481202"</f>
        <v>00481202</v>
      </c>
      <c r="G903">
        <v>17.15</v>
      </c>
      <c r="H903">
        <v>0</v>
      </c>
      <c r="I903">
        <v>0</v>
      </c>
      <c r="J903">
        <v>0</v>
      </c>
      <c r="K903">
        <v>0</v>
      </c>
      <c r="N903">
        <v>3</v>
      </c>
      <c r="O903">
        <v>3</v>
      </c>
      <c r="P903">
        <v>0</v>
      </c>
      <c r="Q903">
        <v>0</v>
      </c>
      <c r="R903">
        <v>20.15</v>
      </c>
      <c r="S903">
        <v>0</v>
      </c>
      <c r="T903">
        <v>0</v>
      </c>
      <c r="U903">
        <v>0</v>
      </c>
      <c r="V903">
        <v>0</v>
      </c>
      <c r="W903" t="s">
        <v>14</v>
      </c>
      <c r="X903">
        <v>20.15</v>
      </c>
    </row>
    <row r="904" spans="1:24" ht="15">
      <c r="A904">
        <v>897</v>
      </c>
      <c r="B904">
        <v>95554</v>
      </c>
      <c r="C904" t="s">
        <v>81</v>
      </c>
      <c r="D904" t="s">
        <v>442</v>
      </c>
      <c r="E904" t="s">
        <v>114</v>
      </c>
      <c r="F904" t="str">
        <f>"00638619"</f>
        <v>00638619</v>
      </c>
      <c r="G904">
        <v>16.03</v>
      </c>
      <c r="H904">
        <v>0</v>
      </c>
      <c r="I904">
        <v>0</v>
      </c>
      <c r="J904">
        <v>0</v>
      </c>
      <c r="K904">
        <v>0</v>
      </c>
      <c r="O904">
        <v>0</v>
      </c>
      <c r="P904">
        <v>4</v>
      </c>
      <c r="Q904">
        <v>0</v>
      </c>
      <c r="R904">
        <v>20.03</v>
      </c>
      <c r="S904">
        <v>0</v>
      </c>
      <c r="T904">
        <v>0</v>
      </c>
      <c r="U904">
        <v>0</v>
      </c>
      <c r="V904">
        <v>0</v>
      </c>
      <c r="W904" t="s">
        <v>14</v>
      </c>
      <c r="X904">
        <v>20.03</v>
      </c>
    </row>
    <row r="905" spans="1:24" ht="15">
      <c r="A905">
        <v>898</v>
      </c>
      <c r="B905">
        <v>92420</v>
      </c>
      <c r="C905" t="s">
        <v>2229</v>
      </c>
      <c r="D905" t="s">
        <v>124</v>
      </c>
      <c r="E905" t="s">
        <v>30</v>
      </c>
      <c r="F905" t="str">
        <f>"00648996"</f>
        <v>00648996</v>
      </c>
      <c r="G905">
        <v>15.9</v>
      </c>
      <c r="H905">
        <v>0</v>
      </c>
      <c r="I905">
        <v>0</v>
      </c>
      <c r="J905">
        <v>0</v>
      </c>
      <c r="K905">
        <v>0</v>
      </c>
      <c r="O905">
        <v>0</v>
      </c>
      <c r="P905">
        <v>4</v>
      </c>
      <c r="Q905">
        <v>0</v>
      </c>
      <c r="R905">
        <v>19.9</v>
      </c>
      <c r="S905">
        <v>0</v>
      </c>
      <c r="T905">
        <v>0</v>
      </c>
      <c r="U905">
        <v>0</v>
      </c>
      <c r="V905">
        <v>0</v>
      </c>
      <c r="W905" t="s">
        <v>14</v>
      </c>
      <c r="X905">
        <v>19.9</v>
      </c>
    </row>
    <row r="906" spans="1:24" ht="15">
      <c r="A906">
        <v>899</v>
      </c>
      <c r="B906">
        <v>105330</v>
      </c>
      <c r="C906" t="s">
        <v>2230</v>
      </c>
      <c r="D906" t="s">
        <v>2231</v>
      </c>
      <c r="E906" t="s">
        <v>91</v>
      </c>
      <c r="F906" t="str">
        <f>"00467948"</f>
        <v>00467948</v>
      </c>
      <c r="G906">
        <v>15.8</v>
      </c>
      <c r="H906">
        <v>0</v>
      </c>
      <c r="I906">
        <v>0</v>
      </c>
      <c r="J906">
        <v>0</v>
      </c>
      <c r="K906">
        <v>0</v>
      </c>
      <c r="O906">
        <v>0</v>
      </c>
      <c r="P906">
        <v>4</v>
      </c>
      <c r="Q906">
        <v>0</v>
      </c>
      <c r="R906">
        <v>19.8</v>
      </c>
      <c r="S906">
        <v>0</v>
      </c>
      <c r="T906">
        <v>0</v>
      </c>
      <c r="U906">
        <v>0</v>
      </c>
      <c r="V906">
        <v>0</v>
      </c>
      <c r="W906" t="s">
        <v>14</v>
      </c>
      <c r="X906">
        <v>19.8</v>
      </c>
    </row>
    <row r="907" spans="1:24" ht="15">
      <c r="A907">
        <v>900</v>
      </c>
      <c r="B907">
        <v>84185</v>
      </c>
      <c r="C907" t="s">
        <v>2232</v>
      </c>
      <c r="D907" t="s">
        <v>50</v>
      </c>
      <c r="E907" t="s">
        <v>21</v>
      </c>
      <c r="F907" t="str">
        <f>"00640715"</f>
        <v>00640715</v>
      </c>
      <c r="G907">
        <v>15.78</v>
      </c>
      <c r="H907">
        <v>0</v>
      </c>
      <c r="I907">
        <v>0</v>
      </c>
      <c r="J907">
        <v>0</v>
      </c>
      <c r="K907">
        <v>0</v>
      </c>
      <c r="O907">
        <v>0</v>
      </c>
      <c r="P907">
        <v>4</v>
      </c>
      <c r="Q907">
        <v>0</v>
      </c>
      <c r="R907">
        <v>19.78</v>
      </c>
      <c r="S907">
        <v>0</v>
      </c>
      <c r="T907">
        <v>0</v>
      </c>
      <c r="U907">
        <v>0</v>
      </c>
      <c r="V907">
        <v>0</v>
      </c>
      <c r="W907" t="s">
        <v>14</v>
      </c>
      <c r="X907">
        <v>19.78</v>
      </c>
    </row>
    <row r="908" spans="1:24" ht="15">
      <c r="A908">
        <v>901</v>
      </c>
      <c r="B908">
        <v>112744</v>
      </c>
      <c r="C908" t="s">
        <v>2234</v>
      </c>
      <c r="D908" t="s">
        <v>17</v>
      </c>
      <c r="E908" t="s">
        <v>51</v>
      </c>
      <c r="F908" t="str">
        <f>"00580171"</f>
        <v>00580171</v>
      </c>
      <c r="G908">
        <v>15.68</v>
      </c>
      <c r="H908">
        <v>0</v>
      </c>
      <c r="I908">
        <v>0</v>
      </c>
      <c r="J908">
        <v>0</v>
      </c>
      <c r="K908">
        <v>0</v>
      </c>
      <c r="O908">
        <v>0</v>
      </c>
      <c r="P908">
        <v>4</v>
      </c>
      <c r="Q908">
        <v>0</v>
      </c>
      <c r="R908">
        <v>19.68</v>
      </c>
      <c r="S908">
        <v>0</v>
      </c>
      <c r="T908">
        <v>0</v>
      </c>
      <c r="U908">
        <v>0</v>
      </c>
      <c r="V908">
        <v>0</v>
      </c>
      <c r="W908" t="s">
        <v>14</v>
      </c>
      <c r="X908">
        <v>19.68</v>
      </c>
    </row>
    <row r="909" spans="1:24" ht="15">
      <c r="A909">
        <v>902</v>
      </c>
      <c r="B909">
        <v>111484</v>
      </c>
      <c r="C909" t="s">
        <v>2235</v>
      </c>
      <c r="D909" t="s">
        <v>95</v>
      </c>
      <c r="E909" t="s">
        <v>76</v>
      </c>
      <c r="F909" t="str">
        <f>"00625463"</f>
        <v>00625463</v>
      </c>
      <c r="G909">
        <v>16.58</v>
      </c>
      <c r="H909">
        <v>0</v>
      </c>
      <c r="I909">
        <v>0</v>
      </c>
      <c r="J909">
        <v>0</v>
      </c>
      <c r="K909">
        <v>0</v>
      </c>
      <c r="O909">
        <v>0</v>
      </c>
      <c r="P909">
        <v>0</v>
      </c>
      <c r="Q909">
        <v>0</v>
      </c>
      <c r="R909">
        <v>16.58</v>
      </c>
      <c r="S909">
        <v>0</v>
      </c>
      <c r="T909">
        <v>0</v>
      </c>
      <c r="U909">
        <v>3</v>
      </c>
      <c r="V909">
        <v>0</v>
      </c>
      <c r="W909" t="s">
        <v>14</v>
      </c>
      <c r="X909">
        <v>19.58</v>
      </c>
    </row>
    <row r="910" spans="1:24" ht="15">
      <c r="A910">
        <v>903</v>
      </c>
      <c r="B910">
        <v>115870</v>
      </c>
      <c r="C910" t="s">
        <v>2238</v>
      </c>
      <c r="D910" t="s">
        <v>80</v>
      </c>
      <c r="E910" t="s">
        <v>21</v>
      </c>
      <c r="F910" t="str">
        <f>"00363419"</f>
        <v>00363419</v>
      </c>
      <c r="G910">
        <v>15.5</v>
      </c>
      <c r="H910">
        <v>0</v>
      </c>
      <c r="I910">
        <v>0</v>
      </c>
      <c r="J910">
        <v>0</v>
      </c>
      <c r="K910">
        <v>0</v>
      </c>
      <c r="O910">
        <v>0</v>
      </c>
      <c r="P910">
        <v>4</v>
      </c>
      <c r="Q910">
        <v>0</v>
      </c>
      <c r="R910">
        <v>19.5</v>
      </c>
      <c r="S910">
        <v>0</v>
      </c>
      <c r="T910">
        <v>0</v>
      </c>
      <c r="U910">
        <v>0</v>
      </c>
      <c r="V910">
        <v>0</v>
      </c>
      <c r="W910" t="s">
        <v>14</v>
      </c>
      <c r="X910">
        <v>19.5</v>
      </c>
    </row>
    <row r="911" spans="1:24" ht="15">
      <c r="A911">
        <v>904</v>
      </c>
      <c r="B911">
        <v>57863</v>
      </c>
      <c r="C911" t="s">
        <v>2240</v>
      </c>
      <c r="D911" t="s">
        <v>12</v>
      </c>
      <c r="E911" t="s">
        <v>17</v>
      </c>
      <c r="F911" t="str">
        <f>"00249662"</f>
        <v>00249662</v>
      </c>
      <c r="G911">
        <v>15.5</v>
      </c>
      <c r="H911">
        <v>0</v>
      </c>
      <c r="I911">
        <v>0</v>
      </c>
      <c r="J911">
        <v>0</v>
      </c>
      <c r="K911">
        <v>0</v>
      </c>
      <c r="O911">
        <v>0</v>
      </c>
      <c r="P911">
        <v>4</v>
      </c>
      <c r="Q911">
        <v>0</v>
      </c>
      <c r="R911">
        <v>19.5</v>
      </c>
      <c r="S911">
        <v>0</v>
      </c>
      <c r="T911">
        <v>0</v>
      </c>
      <c r="U911">
        <v>0</v>
      </c>
      <c r="V911">
        <v>0</v>
      </c>
      <c r="W911" t="s">
        <v>14</v>
      </c>
      <c r="X911">
        <v>19.5</v>
      </c>
    </row>
    <row r="912" spans="1:24" ht="15">
      <c r="A912">
        <v>905</v>
      </c>
      <c r="B912">
        <v>56504</v>
      </c>
      <c r="C912" t="s">
        <v>2244</v>
      </c>
      <c r="D912" t="s">
        <v>12</v>
      </c>
      <c r="E912" t="s">
        <v>139</v>
      </c>
      <c r="F912" t="str">
        <f>"00610985"</f>
        <v>00610985</v>
      </c>
      <c r="G912">
        <v>16.38</v>
      </c>
      <c r="H912">
        <v>0</v>
      </c>
      <c r="I912">
        <v>0</v>
      </c>
      <c r="J912">
        <v>0</v>
      </c>
      <c r="K912">
        <v>0</v>
      </c>
      <c r="N912">
        <v>3</v>
      </c>
      <c r="O912">
        <v>3</v>
      </c>
      <c r="P912">
        <v>0</v>
      </c>
      <c r="Q912">
        <v>0</v>
      </c>
      <c r="R912">
        <v>19.38</v>
      </c>
      <c r="S912">
        <v>0</v>
      </c>
      <c r="T912">
        <v>0</v>
      </c>
      <c r="U912">
        <v>0</v>
      </c>
      <c r="V912">
        <v>0</v>
      </c>
      <c r="W912" t="s">
        <v>14</v>
      </c>
      <c r="X912">
        <v>19.38</v>
      </c>
    </row>
    <row r="913" spans="1:24" ht="15">
      <c r="A913">
        <v>906</v>
      </c>
      <c r="B913">
        <v>2400</v>
      </c>
      <c r="C913" t="s">
        <v>2246</v>
      </c>
      <c r="D913" t="s">
        <v>2247</v>
      </c>
      <c r="E913" t="s">
        <v>2248</v>
      </c>
      <c r="F913" t="str">
        <f>"00599108"</f>
        <v>00599108</v>
      </c>
      <c r="G913">
        <v>19.33</v>
      </c>
      <c r="H913">
        <v>0</v>
      </c>
      <c r="I913">
        <v>0</v>
      </c>
      <c r="J913">
        <v>0</v>
      </c>
      <c r="K913">
        <v>0</v>
      </c>
      <c r="O913">
        <v>0</v>
      </c>
      <c r="P913">
        <v>0</v>
      </c>
      <c r="Q913">
        <v>0</v>
      </c>
      <c r="R913">
        <v>19.33</v>
      </c>
      <c r="S913">
        <v>0</v>
      </c>
      <c r="T913">
        <v>0</v>
      </c>
      <c r="U913">
        <v>0</v>
      </c>
      <c r="V913">
        <v>0</v>
      </c>
      <c r="W913" t="s">
        <v>14</v>
      </c>
      <c r="X913">
        <v>19.33</v>
      </c>
    </row>
    <row r="914" spans="1:24" ht="15">
      <c r="A914">
        <v>907</v>
      </c>
      <c r="B914">
        <v>110792</v>
      </c>
      <c r="C914" t="s">
        <v>116</v>
      </c>
      <c r="D914" t="s">
        <v>151</v>
      </c>
      <c r="E914" t="s">
        <v>27</v>
      </c>
      <c r="F914" t="str">
        <f>"00632659"</f>
        <v>00632659</v>
      </c>
      <c r="G914">
        <v>16.3</v>
      </c>
      <c r="H914">
        <v>0</v>
      </c>
      <c r="I914">
        <v>0</v>
      </c>
      <c r="J914">
        <v>0</v>
      </c>
      <c r="K914">
        <v>0</v>
      </c>
      <c r="O914">
        <v>0</v>
      </c>
      <c r="P914">
        <v>0</v>
      </c>
      <c r="Q914">
        <v>0</v>
      </c>
      <c r="R914">
        <v>16.3</v>
      </c>
      <c r="S914">
        <v>0</v>
      </c>
      <c r="T914">
        <v>0</v>
      </c>
      <c r="U914">
        <v>3</v>
      </c>
      <c r="V914">
        <v>0</v>
      </c>
      <c r="W914" t="s">
        <v>14</v>
      </c>
      <c r="X914">
        <v>19.3</v>
      </c>
    </row>
    <row r="915" spans="1:24" ht="15">
      <c r="A915">
        <v>908</v>
      </c>
      <c r="B915">
        <v>27776</v>
      </c>
      <c r="C915" t="s">
        <v>2249</v>
      </c>
      <c r="D915" t="s">
        <v>514</v>
      </c>
      <c r="E915" t="s">
        <v>27</v>
      </c>
      <c r="F915" t="str">
        <f>"00610675"</f>
        <v>00610675</v>
      </c>
      <c r="G915">
        <v>15.3</v>
      </c>
      <c r="H915">
        <v>0</v>
      </c>
      <c r="I915">
        <v>0</v>
      </c>
      <c r="J915">
        <v>0</v>
      </c>
      <c r="K915">
        <v>0</v>
      </c>
      <c r="O915">
        <v>0</v>
      </c>
      <c r="P915">
        <v>4</v>
      </c>
      <c r="Q915">
        <v>0</v>
      </c>
      <c r="R915">
        <v>19.3</v>
      </c>
      <c r="S915">
        <v>0</v>
      </c>
      <c r="T915">
        <v>0</v>
      </c>
      <c r="U915">
        <v>0</v>
      </c>
      <c r="V915">
        <v>0</v>
      </c>
      <c r="W915" t="s">
        <v>14</v>
      </c>
      <c r="X915">
        <v>19.3</v>
      </c>
    </row>
    <row r="916" spans="1:24" ht="15">
      <c r="A916">
        <v>909</v>
      </c>
      <c r="B916">
        <v>94997</v>
      </c>
      <c r="C916" t="s">
        <v>1297</v>
      </c>
      <c r="D916" t="s">
        <v>91</v>
      </c>
      <c r="E916" t="s">
        <v>27</v>
      </c>
      <c r="F916" t="str">
        <f>"00343393"</f>
        <v>00343393</v>
      </c>
      <c r="G916">
        <v>15.25</v>
      </c>
      <c r="H916">
        <v>0</v>
      </c>
      <c r="I916">
        <v>0</v>
      </c>
      <c r="J916">
        <v>0</v>
      </c>
      <c r="K916">
        <v>0</v>
      </c>
      <c r="O916">
        <v>0</v>
      </c>
      <c r="P916">
        <v>4</v>
      </c>
      <c r="Q916">
        <v>0</v>
      </c>
      <c r="R916">
        <v>19.25</v>
      </c>
      <c r="S916">
        <v>0</v>
      </c>
      <c r="T916">
        <v>0</v>
      </c>
      <c r="U916">
        <v>0</v>
      </c>
      <c r="V916">
        <v>0</v>
      </c>
      <c r="W916" t="s">
        <v>14</v>
      </c>
      <c r="X916">
        <v>19.25</v>
      </c>
    </row>
    <row r="917" spans="1:24" ht="15">
      <c r="A917">
        <v>910</v>
      </c>
      <c r="B917">
        <v>109814</v>
      </c>
      <c r="C917" t="s">
        <v>2084</v>
      </c>
      <c r="D917" t="s">
        <v>173</v>
      </c>
      <c r="E917" t="s">
        <v>135</v>
      </c>
      <c r="F917" t="str">
        <f>"00643116"</f>
        <v>00643116</v>
      </c>
      <c r="G917">
        <v>15.8</v>
      </c>
      <c r="H917">
        <v>0</v>
      </c>
      <c r="I917">
        <v>0</v>
      </c>
      <c r="J917">
        <v>0</v>
      </c>
      <c r="K917">
        <v>0</v>
      </c>
      <c r="N917">
        <v>3</v>
      </c>
      <c r="O917">
        <v>3</v>
      </c>
      <c r="P917">
        <v>0</v>
      </c>
      <c r="Q917">
        <v>0</v>
      </c>
      <c r="R917">
        <v>18.8</v>
      </c>
      <c r="S917">
        <v>0</v>
      </c>
      <c r="T917">
        <v>0</v>
      </c>
      <c r="U917">
        <v>0</v>
      </c>
      <c r="V917">
        <v>0</v>
      </c>
      <c r="W917" t="s">
        <v>14</v>
      </c>
      <c r="X917">
        <v>18.8</v>
      </c>
    </row>
    <row r="918" spans="1:24" ht="15">
      <c r="A918">
        <v>911</v>
      </c>
      <c r="B918">
        <v>45296</v>
      </c>
      <c r="C918" t="s">
        <v>311</v>
      </c>
      <c r="D918" t="s">
        <v>612</v>
      </c>
      <c r="E918" t="s">
        <v>373</v>
      </c>
      <c r="F918" t="str">
        <f>"00621237"</f>
        <v>00621237</v>
      </c>
      <c r="G918">
        <v>14.75</v>
      </c>
      <c r="H918">
        <v>0</v>
      </c>
      <c r="I918">
        <v>0</v>
      </c>
      <c r="J918">
        <v>0</v>
      </c>
      <c r="K918">
        <v>0</v>
      </c>
      <c r="O918">
        <v>0</v>
      </c>
      <c r="P918">
        <v>4</v>
      </c>
      <c r="Q918">
        <v>0</v>
      </c>
      <c r="R918">
        <v>18.75</v>
      </c>
      <c r="S918">
        <v>0</v>
      </c>
      <c r="T918">
        <v>0</v>
      </c>
      <c r="U918">
        <v>0</v>
      </c>
      <c r="V918">
        <v>0</v>
      </c>
      <c r="W918" t="s">
        <v>14</v>
      </c>
      <c r="X918">
        <v>18.75</v>
      </c>
    </row>
    <row r="919" spans="1:24" ht="15">
      <c r="A919">
        <v>912</v>
      </c>
      <c r="B919">
        <v>76047</v>
      </c>
      <c r="C919" t="s">
        <v>317</v>
      </c>
      <c r="D919" t="s">
        <v>2258</v>
      </c>
      <c r="E919" t="s">
        <v>21</v>
      </c>
      <c r="F919" t="str">
        <f>"00439794"</f>
        <v>00439794</v>
      </c>
      <c r="G919">
        <v>14.68</v>
      </c>
      <c r="H919">
        <v>0</v>
      </c>
      <c r="I919">
        <v>0</v>
      </c>
      <c r="J919">
        <v>0</v>
      </c>
      <c r="K919">
        <v>0</v>
      </c>
      <c r="O919">
        <v>0</v>
      </c>
      <c r="P919">
        <v>4</v>
      </c>
      <c r="Q919">
        <v>0</v>
      </c>
      <c r="R919">
        <v>18.68</v>
      </c>
      <c r="S919">
        <v>0</v>
      </c>
      <c r="T919">
        <v>0</v>
      </c>
      <c r="U919">
        <v>0</v>
      </c>
      <c r="V919">
        <v>0</v>
      </c>
      <c r="W919" t="s">
        <v>14</v>
      </c>
      <c r="X919">
        <v>18.68</v>
      </c>
    </row>
    <row r="920" spans="1:24" ht="15">
      <c r="A920">
        <v>913</v>
      </c>
      <c r="B920">
        <v>59883</v>
      </c>
      <c r="C920" t="s">
        <v>2260</v>
      </c>
      <c r="D920" t="s">
        <v>177</v>
      </c>
      <c r="E920" t="s">
        <v>30</v>
      </c>
      <c r="F920" t="str">
        <f>"00244828"</f>
        <v>00244828</v>
      </c>
      <c r="G920">
        <v>14.65</v>
      </c>
      <c r="H920">
        <v>0</v>
      </c>
      <c r="I920">
        <v>0</v>
      </c>
      <c r="J920">
        <v>0</v>
      </c>
      <c r="K920">
        <v>0</v>
      </c>
      <c r="O920">
        <v>0</v>
      </c>
      <c r="P920">
        <v>4</v>
      </c>
      <c r="Q920">
        <v>0</v>
      </c>
      <c r="R920">
        <v>18.65</v>
      </c>
      <c r="S920">
        <v>0</v>
      </c>
      <c r="T920">
        <v>0</v>
      </c>
      <c r="U920">
        <v>0</v>
      </c>
      <c r="V920">
        <v>0</v>
      </c>
      <c r="W920" t="s">
        <v>14</v>
      </c>
      <c r="X920">
        <v>18.65</v>
      </c>
    </row>
    <row r="921" spans="1:24" ht="15">
      <c r="A921">
        <v>914</v>
      </c>
      <c r="B921">
        <v>9231</v>
      </c>
      <c r="C921" t="s">
        <v>1248</v>
      </c>
      <c r="D921" t="s">
        <v>109</v>
      </c>
      <c r="E921" t="s">
        <v>21</v>
      </c>
      <c r="F921" t="str">
        <f>"00424230"</f>
        <v>00424230</v>
      </c>
      <c r="G921">
        <v>18.6</v>
      </c>
      <c r="H921">
        <v>0</v>
      </c>
      <c r="I921">
        <v>0</v>
      </c>
      <c r="J921">
        <v>0</v>
      </c>
      <c r="K921">
        <v>0</v>
      </c>
      <c r="O921">
        <v>0</v>
      </c>
      <c r="P921">
        <v>0</v>
      </c>
      <c r="Q921">
        <v>0</v>
      </c>
      <c r="R921">
        <v>18.6</v>
      </c>
      <c r="S921">
        <v>0</v>
      </c>
      <c r="T921">
        <v>0</v>
      </c>
      <c r="U921">
        <v>0</v>
      </c>
      <c r="V921">
        <v>0</v>
      </c>
      <c r="W921" t="s">
        <v>14</v>
      </c>
      <c r="X921">
        <v>18.6</v>
      </c>
    </row>
    <row r="922" spans="1:24" ht="15">
      <c r="A922">
        <v>915</v>
      </c>
      <c r="B922">
        <v>92583</v>
      </c>
      <c r="C922" t="s">
        <v>816</v>
      </c>
      <c r="D922" t="s">
        <v>106</v>
      </c>
      <c r="E922" t="s">
        <v>60</v>
      </c>
      <c r="F922" t="str">
        <f>"00586592"</f>
        <v>00586592</v>
      </c>
      <c r="G922">
        <v>15.53</v>
      </c>
      <c r="H922">
        <v>0</v>
      </c>
      <c r="I922">
        <v>0</v>
      </c>
      <c r="J922">
        <v>0</v>
      </c>
      <c r="K922">
        <v>0</v>
      </c>
      <c r="N922">
        <v>3</v>
      </c>
      <c r="O922">
        <v>3</v>
      </c>
      <c r="P922">
        <v>0</v>
      </c>
      <c r="Q922">
        <v>0</v>
      </c>
      <c r="R922">
        <v>18.53</v>
      </c>
      <c r="S922">
        <v>0</v>
      </c>
      <c r="T922">
        <v>0</v>
      </c>
      <c r="U922">
        <v>0</v>
      </c>
      <c r="V922">
        <v>0</v>
      </c>
      <c r="W922" t="s">
        <v>14</v>
      </c>
      <c r="X922">
        <v>18.53</v>
      </c>
    </row>
    <row r="923" spans="1:24" ht="15">
      <c r="A923">
        <v>916</v>
      </c>
      <c r="B923">
        <v>20739</v>
      </c>
      <c r="C923" t="s">
        <v>2261</v>
      </c>
      <c r="D923" t="s">
        <v>21</v>
      </c>
      <c r="E923" t="s">
        <v>27</v>
      </c>
      <c r="F923" t="str">
        <f>"00602112"</f>
        <v>00602112</v>
      </c>
      <c r="G923">
        <v>14.43</v>
      </c>
      <c r="H923">
        <v>0</v>
      </c>
      <c r="I923">
        <v>0</v>
      </c>
      <c r="J923">
        <v>0</v>
      </c>
      <c r="K923">
        <v>0</v>
      </c>
      <c r="O923">
        <v>0</v>
      </c>
      <c r="P923">
        <v>4</v>
      </c>
      <c r="Q923">
        <v>0</v>
      </c>
      <c r="R923">
        <v>18.43</v>
      </c>
      <c r="S923">
        <v>0</v>
      </c>
      <c r="T923">
        <v>0</v>
      </c>
      <c r="U923">
        <v>0</v>
      </c>
      <c r="V923">
        <v>0</v>
      </c>
      <c r="W923" t="s">
        <v>14</v>
      </c>
      <c r="X923">
        <v>18.43</v>
      </c>
    </row>
    <row r="924" spans="1:24" ht="15">
      <c r="A924">
        <v>917</v>
      </c>
      <c r="B924">
        <v>115437</v>
      </c>
      <c r="C924" t="s">
        <v>539</v>
      </c>
      <c r="D924" t="s">
        <v>2265</v>
      </c>
      <c r="E924" t="s">
        <v>27</v>
      </c>
      <c r="F924" t="str">
        <f>"00631834"</f>
        <v>00631834</v>
      </c>
      <c r="G924">
        <v>14.38</v>
      </c>
      <c r="H924">
        <v>0</v>
      </c>
      <c r="I924">
        <v>0</v>
      </c>
      <c r="J924">
        <v>0</v>
      </c>
      <c r="K924">
        <v>0</v>
      </c>
      <c r="O924">
        <v>0</v>
      </c>
      <c r="P924">
        <v>4</v>
      </c>
      <c r="Q924">
        <v>0</v>
      </c>
      <c r="R924">
        <v>18.38</v>
      </c>
      <c r="S924">
        <v>0</v>
      </c>
      <c r="T924">
        <v>0</v>
      </c>
      <c r="U924">
        <v>0</v>
      </c>
      <c r="V924">
        <v>0</v>
      </c>
      <c r="W924" t="s">
        <v>14</v>
      </c>
      <c r="X924">
        <v>18.38</v>
      </c>
    </row>
    <row r="925" spans="1:24" ht="15">
      <c r="A925">
        <v>918</v>
      </c>
      <c r="B925">
        <v>1208</v>
      </c>
      <c r="C925" t="s">
        <v>2266</v>
      </c>
      <c r="D925" t="s">
        <v>60</v>
      </c>
      <c r="E925" t="s">
        <v>21</v>
      </c>
      <c r="F925" t="str">
        <f>"201511010759"</f>
        <v>201511010759</v>
      </c>
      <c r="G925">
        <v>18.33</v>
      </c>
      <c r="H925">
        <v>0</v>
      </c>
      <c r="I925">
        <v>0</v>
      </c>
      <c r="J925">
        <v>0</v>
      </c>
      <c r="K925">
        <v>0</v>
      </c>
      <c r="O925">
        <v>0</v>
      </c>
      <c r="P925">
        <v>0</v>
      </c>
      <c r="Q925">
        <v>0</v>
      </c>
      <c r="R925">
        <v>18.33</v>
      </c>
      <c r="S925">
        <v>0</v>
      </c>
      <c r="T925">
        <v>0</v>
      </c>
      <c r="U925">
        <v>0</v>
      </c>
      <c r="V925">
        <v>0</v>
      </c>
      <c r="W925" t="s">
        <v>14</v>
      </c>
      <c r="X925">
        <v>18.33</v>
      </c>
    </row>
    <row r="926" spans="1:24" ht="15">
      <c r="A926">
        <v>919</v>
      </c>
      <c r="B926">
        <v>51719</v>
      </c>
      <c r="C926" t="s">
        <v>2267</v>
      </c>
      <c r="D926" t="s">
        <v>201</v>
      </c>
      <c r="E926" t="s">
        <v>91</v>
      </c>
      <c r="F926" t="str">
        <f>"00574897"</f>
        <v>00574897</v>
      </c>
      <c r="G926">
        <v>15.18</v>
      </c>
      <c r="H926">
        <v>0</v>
      </c>
      <c r="I926">
        <v>0</v>
      </c>
      <c r="J926">
        <v>0</v>
      </c>
      <c r="K926">
        <v>0</v>
      </c>
      <c r="N926">
        <v>3</v>
      </c>
      <c r="O926">
        <v>3</v>
      </c>
      <c r="P926">
        <v>0</v>
      </c>
      <c r="Q926">
        <v>0</v>
      </c>
      <c r="R926">
        <v>18.18</v>
      </c>
      <c r="S926">
        <v>0</v>
      </c>
      <c r="T926">
        <v>0</v>
      </c>
      <c r="U926">
        <v>0</v>
      </c>
      <c r="V926">
        <v>0</v>
      </c>
      <c r="W926" t="s">
        <v>14</v>
      </c>
      <c r="X926">
        <v>18.18</v>
      </c>
    </row>
    <row r="927" spans="1:24" ht="15">
      <c r="A927">
        <v>920</v>
      </c>
      <c r="B927">
        <v>22967</v>
      </c>
      <c r="C927" t="s">
        <v>2269</v>
      </c>
      <c r="D927" t="s">
        <v>153</v>
      </c>
      <c r="E927" t="s">
        <v>23</v>
      </c>
      <c r="F927" t="str">
        <f>"00019354"</f>
        <v>00019354</v>
      </c>
      <c r="G927">
        <v>18.08</v>
      </c>
      <c r="H927">
        <v>0</v>
      </c>
      <c r="I927">
        <v>0</v>
      </c>
      <c r="J927">
        <v>0</v>
      </c>
      <c r="K927">
        <v>0</v>
      </c>
      <c r="O927">
        <v>0</v>
      </c>
      <c r="P927">
        <v>0</v>
      </c>
      <c r="Q927">
        <v>0</v>
      </c>
      <c r="R927">
        <v>18.08</v>
      </c>
      <c r="S927">
        <v>0</v>
      </c>
      <c r="T927">
        <v>0</v>
      </c>
      <c r="U927">
        <v>0</v>
      </c>
      <c r="V927">
        <v>0</v>
      </c>
      <c r="W927" t="s">
        <v>14</v>
      </c>
      <c r="X927">
        <v>18.08</v>
      </c>
    </row>
    <row r="928" spans="1:24" ht="15">
      <c r="A928">
        <v>921</v>
      </c>
      <c r="B928">
        <v>84863</v>
      </c>
      <c r="C928" t="s">
        <v>2270</v>
      </c>
      <c r="D928" t="s">
        <v>236</v>
      </c>
      <c r="E928" t="s">
        <v>2271</v>
      </c>
      <c r="F928" t="str">
        <f>"00185951"</f>
        <v>00185951</v>
      </c>
      <c r="G928">
        <v>18.05</v>
      </c>
      <c r="H928">
        <v>0</v>
      </c>
      <c r="I928">
        <v>0</v>
      </c>
      <c r="J928">
        <v>0</v>
      </c>
      <c r="K928">
        <v>0</v>
      </c>
      <c r="O928">
        <v>0</v>
      </c>
      <c r="P928">
        <v>0</v>
      </c>
      <c r="Q928">
        <v>0</v>
      </c>
      <c r="R928">
        <v>18.05</v>
      </c>
      <c r="S928">
        <v>0</v>
      </c>
      <c r="T928">
        <v>0</v>
      </c>
      <c r="U928">
        <v>0</v>
      </c>
      <c r="V928">
        <v>0</v>
      </c>
      <c r="W928" t="s">
        <v>14</v>
      </c>
      <c r="X928">
        <v>18.05</v>
      </c>
    </row>
    <row r="929" spans="1:24" ht="15">
      <c r="A929">
        <v>922</v>
      </c>
      <c r="B929">
        <v>87322</v>
      </c>
      <c r="C929" t="s">
        <v>481</v>
      </c>
      <c r="D929" t="s">
        <v>88</v>
      </c>
      <c r="E929" t="s">
        <v>111</v>
      </c>
      <c r="F929" t="str">
        <f>"00643505"</f>
        <v>00643505</v>
      </c>
      <c r="G929">
        <v>14</v>
      </c>
      <c r="H929">
        <v>0</v>
      </c>
      <c r="I929">
        <v>0</v>
      </c>
      <c r="J929">
        <v>0</v>
      </c>
      <c r="K929">
        <v>0</v>
      </c>
      <c r="O929">
        <v>0</v>
      </c>
      <c r="P929">
        <v>4</v>
      </c>
      <c r="Q929">
        <v>0</v>
      </c>
      <c r="R929">
        <v>18</v>
      </c>
      <c r="S929">
        <v>0</v>
      </c>
      <c r="T929">
        <v>0</v>
      </c>
      <c r="U929">
        <v>0</v>
      </c>
      <c r="V929">
        <v>0</v>
      </c>
      <c r="W929" t="s">
        <v>14</v>
      </c>
      <c r="X929">
        <v>18</v>
      </c>
    </row>
    <row r="930" spans="1:24" ht="15">
      <c r="A930">
        <v>923</v>
      </c>
      <c r="B930">
        <v>73609</v>
      </c>
      <c r="C930" t="s">
        <v>2274</v>
      </c>
      <c r="D930" t="s">
        <v>12</v>
      </c>
      <c r="E930" t="s">
        <v>95</v>
      </c>
      <c r="F930" t="str">
        <f>"00616893"</f>
        <v>00616893</v>
      </c>
      <c r="G930">
        <v>15.98</v>
      </c>
      <c r="H930">
        <v>0</v>
      </c>
      <c r="I930">
        <v>0</v>
      </c>
      <c r="J930">
        <v>0</v>
      </c>
      <c r="K930">
        <v>0</v>
      </c>
      <c r="O930">
        <v>0</v>
      </c>
      <c r="P930">
        <v>0</v>
      </c>
      <c r="Q930">
        <v>0</v>
      </c>
      <c r="R930">
        <v>15.98</v>
      </c>
      <c r="S930">
        <v>2</v>
      </c>
      <c r="T930">
        <v>2</v>
      </c>
      <c r="U930">
        <v>0</v>
      </c>
      <c r="V930">
        <v>0</v>
      </c>
      <c r="W930" t="s">
        <v>14</v>
      </c>
      <c r="X930">
        <v>17.98</v>
      </c>
    </row>
    <row r="931" spans="1:24" ht="15">
      <c r="A931">
        <v>924</v>
      </c>
      <c r="B931">
        <v>86593</v>
      </c>
      <c r="C931" t="s">
        <v>1849</v>
      </c>
      <c r="D931" t="s">
        <v>17</v>
      </c>
      <c r="E931" t="s">
        <v>30</v>
      </c>
      <c r="F931" t="str">
        <f>"00604772"</f>
        <v>00604772</v>
      </c>
      <c r="G931">
        <v>17.68</v>
      </c>
      <c r="H931">
        <v>0</v>
      </c>
      <c r="I931">
        <v>0</v>
      </c>
      <c r="J931">
        <v>0</v>
      </c>
      <c r="K931">
        <v>0</v>
      </c>
      <c r="O931">
        <v>0</v>
      </c>
      <c r="P931">
        <v>0</v>
      </c>
      <c r="Q931">
        <v>0</v>
      </c>
      <c r="R931">
        <v>17.68</v>
      </c>
      <c r="S931">
        <v>0</v>
      </c>
      <c r="T931">
        <v>0</v>
      </c>
      <c r="U931">
        <v>0</v>
      </c>
      <c r="V931">
        <v>0</v>
      </c>
      <c r="W931" t="s">
        <v>14</v>
      </c>
      <c r="X931">
        <v>17.68</v>
      </c>
    </row>
    <row r="932" spans="1:24" ht="15">
      <c r="A932">
        <v>925</v>
      </c>
      <c r="B932">
        <v>67049</v>
      </c>
      <c r="C932" t="s">
        <v>2275</v>
      </c>
      <c r="D932" t="s">
        <v>17</v>
      </c>
      <c r="E932" t="s">
        <v>113</v>
      </c>
      <c r="F932" t="str">
        <f>"00139418"</f>
        <v>00139418</v>
      </c>
      <c r="G932">
        <v>17.68</v>
      </c>
      <c r="H932">
        <v>0</v>
      </c>
      <c r="I932">
        <v>0</v>
      </c>
      <c r="J932">
        <v>0</v>
      </c>
      <c r="K932">
        <v>0</v>
      </c>
      <c r="O932">
        <v>0</v>
      </c>
      <c r="P932">
        <v>0</v>
      </c>
      <c r="Q932">
        <v>0</v>
      </c>
      <c r="R932">
        <v>17.68</v>
      </c>
      <c r="S932">
        <v>0</v>
      </c>
      <c r="T932">
        <v>0</v>
      </c>
      <c r="U932">
        <v>0</v>
      </c>
      <c r="V932">
        <v>0</v>
      </c>
      <c r="W932" t="s">
        <v>14</v>
      </c>
      <c r="X932">
        <v>17.68</v>
      </c>
    </row>
    <row r="933" spans="1:24" ht="15">
      <c r="A933">
        <v>926</v>
      </c>
      <c r="B933">
        <v>56988</v>
      </c>
      <c r="C933" t="s">
        <v>2276</v>
      </c>
      <c r="D933" t="s">
        <v>75</v>
      </c>
      <c r="E933" t="s">
        <v>21</v>
      </c>
      <c r="F933" t="str">
        <f>"00012488"</f>
        <v>00012488</v>
      </c>
      <c r="G933">
        <v>17.6</v>
      </c>
      <c r="H933">
        <v>0</v>
      </c>
      <c r="I933">
        <v>0</v>
      </c>
      <c r="J933">
        <v>0</v>
      </c>
      <c r="K933">
        <v>0</v>
      </c>
      <c r="O933">
        <v>0</v>
      </c>
      <c r="P933">
        <v>0</v>
      </c>
      <c r="Q933">
        <v>0</v>
      </c>
      <c r="R933">
        <v>17.6</v>
      </c>
      <c r="S933">
        <v>0</v>
      </c>
      <c r="T933">
        <v>0</v>
      </c>
      <c r="U933">
        <v>0</v>
      </c>
      <c r="V933">
        <v>0</v>
      </c>
      <c r="W933" t="s">
        <v>14</v>
      </c>
      <c r="X933">
        <v>17.6</v>
      </c>
    </row>
    <row r="934" spans="1:24" ht="15">
      <c r="A934">
        <v>927</v>
      </c>
      <c r="B934">
        <v>78206</v>
      </c>
      <c r="C934" t="s">
        <v>2277</v>
      </c>
      <c r="D934" t="s">
        <v>44</v>
      </c>
      <c r="E934" t="s">
        <v>139</v>
      </c>
      <c r="F934" t="str">
        <f>"00636947"</f>
        <v>00636947</v>
      </c>
      <c r="G934">
        <v>17.48</v>
      </c>
      <c r="H934">
        <v>0</v>
      </c>
      <c r="I934">
        <v>0</v>
      </c>
      <c r="J934">
        <v>0</v>
      </c>
      <c r="K934">
        <v>0</v>
      </c>
      <c r="O934">
        <v>0</v>
      </c>
      <c r="P934">
        <v>0</v>
      </c>
      <c r="Q934">
        <v>0</v>
      </c>
      <c r="R934">
        <v>17.48</v>
      </c>
      <c r="S934">
        <v>0</v>
      </c>
      <c r="T934">
        <v>0</v>
      </c>
      <c r="U934">
        <v>0</v>
      </c>
      <c r="V934">
        <v>0</v>
      </c>
      <c r="W934" t="s">
        <v>14</v>
      </c>
      <c r="X934">
        <v>17.48</v>
      </c>
    </row>
    <row r="935" spans="1:24" ht="15">
      <c r="A935">
        <v>928</v>
      </c>
      <c r="B935">
        <v>19910</v>
      </c>
      <c r="C935" t="s">
        <v>1315</v>
      </c>
      <c r="D935" t="s">
        <v>124</v>
      </c>
      <c r="E935" t="s">
        <v>1181</v>
      </c>
      <c r="F935" t="str">
        <f>"00016772"</f>
        <v>00016772</v>
      </c>
      <c r="G935">
        <v>17.35</v>
      </c>
      <c r="H935">
        <v>0</v>
      </c>
      <c r="I935">
        <v>0</v>
      </c>
      <c r="J935">
        <v>0</v>
      </c>
      <c r="K935">
        <v>0</v>
      </c>
      <c r="O935">
        <v>0</v>
      </c>
      <c r="P935">
        <v>0</v>
      </c>
      <c r="Q935">
        <v>0</v>
      </c>
      <c r="R935">
        <v>17.35</v>
      </c>
      <c r="S935">
        <v>0</v>
      </c>
      <c r="T935">
        <v>0</v>
      </c>
      <c r="U935">
        <v>0</v>
      </c>
      <c r="V935">
        <v>0</v>
      </c>
      <c r="W935" t="s">
        <v>14</v>
      </c>
      <c r="X935">
        <v>17.35</v>
      </c>
    </row>
    <row r="936" spans="1:24" ht="15">
      <c r="A936">
        <v>929</v>
      </c>
      <c r="B936">
        <v>23332</v>
      </c>
      <c r="C936" t="s">
        <v>2279</v>
      </c>
      <c r="D936" t="s">
        <v>512</v>
      </c>
      <c r="E936" t="s">
        <v>113</v>
      </c>
      <c r="F936" t="str">
        <f>"00561211"</f>
        <v>00561211</v>
      </c>
      <c r="G936">
        <v>17.3</v>
      </c>
      <c r="H936">
        <v>0</v>
      </c>
      <c r="I936">
        <v>0</v>
      </c>
      <c r="J936">
        <v>0</v>
      </c>
      <c r="K936">
        <v>0</v>
      </c>
      <c r="O936">
        <v>0</v>
      </c>
      <c r="P936">
        <v>0</v>
      </c>
      <c r="Q936">
        <v>0</v>
      </c>
      <c r="R936">
        <v>17.3</v>
      </c>
      <c r="S936">
        <v>0</v>
      </c>
      <c r="T936">
        <v>0</v>
      </c>
      <c r="U936">
        <v>0</v>
      </c>
      <c r="V936">
        <v>0</v>
      </c>
      <c r="W936" t="s">
        <v>14</v>
      </c>
      <c r="X936">
        <v>17.3</v>
      </c>
    </row>
    <row r="937" spans="1:24" ht="15">
      <c r="A937">
        <v>930</v>
      </c>
      <c r="B937">
        <v>77685</v>
      </c>
      <c r="C937" t="s">
        <v>1586</v>
      </c>
      <c r="D937" t="s">
        <v>21</v>
      </c>
      <c r="E937" t="s">
        <v>13</v>
      </c>
      <c r="F937" t="str">
        <f>"00639625"</f>
        <v>00639625</v>
      </c>
      <c r="G937">
        <v>17.18</v>
      </c>
      <c r="H937">
        <v>0</v>
      </c>
      <c r="I937">
        <v>0</v>
      </c>
      <c r="J937">
        <v>0</v>
      </c>
      <c r="K937">
        <v>0</v>
      </c>
      <c r="O937">
        <v>0</v>
      </c>
      <c r="P937">
        <v>0</v>
      </c>
      <c r="Q937">
        <v>0</v>
      </c>
      <c r="R937">
        <v>17.18</v>
      </c>
      <c r="S937">
        <v>0</v>
      </c>
      <c r="T937">
        <v>0</v>
      </c>
      <c r="U937">
        <v>0</v>
      </c>
      <c r="V937">
        <v>0</v>
      </c>
      <c r="W937" t="s">
        <v>14</v>
      </c>
      <c r="X937">
        <v>17.18</v>
      </c>
    </row>
    <row r="938" spans="1:24" ht="15">
      <c r="A938">
        <v>931</v>
      </c>
      <c r="B938">
        <v>100284</v>
      </c>
      <c r="C938" t="s">
        <v>2281</v>
      </c>
      <c r="D938" t="s">
        <v>2085</v>
      </c>
      <c r="E938" t="s">
        <v>21</v>
      </c>
      <c r="F938" t="str">
        <f>"00248162"</f>
        <v>00248162</v>
      </c>
      <c r="G938">
        <v>17.03</v>
      </c>
      <c r="H938">
        <v>0</v>
      </c>
      <c r="I938">
        <v>0</v>
      </c>
      <c r="J938">
        <v>0</v>
      </c>
      <c r="K938">
        <v>0</v>
      </c>
      <c r="O938">
        <v>0</v>
      </c>
      <c r="P938">
        <v>0</v>
      </c>
      <c r="Q938">
        <v>0</v>
      </c>
      <c r="R938">
        <v>17.03</v>
      </c>
      <c r="S938">
        <v>0</v>
      </c>
      <c r="T938">
        <v>0</v>
      </c>
      <c r="U938">
        <v>0</v>
      </c>
      <c r="V938">
        <v>0</v>
      </c>
      <c r="W938" t="s">
        <v>14</v>
      </c>
      <c r="X938">
        <v>17.03</v>
      </c>
    </row>
    <row r="939" spans="1:24" ht="15">
      <c r="A939">
        <v>932</v>
      </c>
      <c r="B939">
        <v>24778</v>
      </c>
      <c r="C939" t="s">
        <v>2284</v>
      </c>
      <c r="D939" t="s">
        <v>17</v>
      </c>
      <c r="E939" t="s">
        <v>120</v>
      </c>
      <c r="F939" t="str">
        <f>"00547043"</f>
        <v>00547043</v>
      </c>
      <c r="G939">
        <v>16.75</v>
      </c>
      <c r="H939">
        <v>0</v>
      </c>
      <c r="I939">
        <v>0</v>
      </c>
      <c r="J939">
        <v>0</v>
      </c>
      <c r="K939">
        <v>0</v>
      </c>
      <c r="O939">
        <v>0</v>
      </c>
      <c r="P939">
        <v>0</v>
      </c>
      <c r="Q939">
        <v>0</v>
      </c>
      <c r="R939">
        <v>16.75</v>
      </c>
      <c r="S939">
        <v>0</v>
      </c>
      <c r="T939">
        <v>0</v>
      </c>
      <c r="U939">
        <v>0</v>
      </c>
      <c r="V939">
        <v>0</v>
      </c>
      <c r="W939" t="s">
        <v>14</v>
      </c>
      <c r="X939">
        <v>16.75</v>
      </c>
    </row>
    <row r="940" spans="1:24" ht="15">
      <c r="A940">
        <v>933</v>
      </c>
      <c r="B940">
        <v>47621</v>
      </c>
      <c r="C940" t="s">
        <v>775</v>
      </c>
      <c r="D940" t="s">
        <v>76</v>
      </c>
      <c r="E940" t="s">
        <v>27</v>
      </c>
      <c r="F940" t="str">
        <f>"00569945"</f>
        <v>00569945</v>
      </c>
      <c r="G940">
        <v>16.65</v>
      </c>
      <c r="H940">
        <v>0</v>
      </c>
      <c r="I940">
        <v>0</v>
      </c>
      <c r="J940">
        <v>0</v>
      </c>
      <c r="K940">
        <v>0</v>
      </c>
      <c r="O940">
        <v>0</v>
      </c>
      <c r="P940">
        <v>0</v>
      </c>
      <c r="Q940">
        <v>0</v>
      </c>
      <c r="R940">
        <v>16.65</v>
      </c>
      <c r="S940">
        <v>0</v>
      </c>
      <c r="T940">
        <v>0</v>
      </c>
      <c r="U940">
        <v>0</v>
      </c>
      <c r="V940">
        <v>0</v>
      </c>
      <c r="W940" t="s">
        <v>14</v>
      </c>
      <c r="X940">
        <v>16.65</v>
      </c>
    </row>
    <row r="941" spans="1:24" ht="15">
      <c r="A941">
        <v>934</v>
      </c>
      <c r="B941">
        <v>36280</v>
      </c>
      <c r="C941" t="s">
        <v>2286</v>
      </c>
      <c r="D941" t="s">
        <v>27</v>
      </c>
      <c r="E941" t="s">
        <v>30</v>
      </c>
      <c r="F941" t="str">
        <f>"00623722"</f>
        <v>00623722</v>
      </c>
      <c r="G941">
        <v>16.38</v>
      </c>
      <c r="H941">
        <v>0</v>
      </c>
      <c r="I941">
        <v>0</v>
      </c>
      <c r="J941">
        <v>0</v>
      </c>
      <c r="K941">
        <v>0</v>
      </c>
      <c r="O941">
        <v>0</v>
      </c>
      <c r="P941">
        <v>0</v>
      </c>
      <c r="Q941">
        <v>0</v>
      </c>
      <c r="R941">
        <v>16.38</v>
      </c>
      <c r="S941">
        <v>0</v>
      </c>
      <c r="T941">
        <v>0</v>
      </c>
      <c r="U941">
        <v>0</v>
      </c>
      <c r="V941">
        <v>0</v>
      </c>
      <c r="W941" t="s">
        <v>14</v>
      </c>
      <c r="X941">
        <v>16.38</v>
      </c>
    </row>
    <row r="942" spans="1:24" ht="15">
      <c r="A942">
        <v>935</v>
      </c>
      <c r="B942">
        <v>88112</v>
      </c>
      <c r="C942" t="s">
        <v>2288</v>
      </c>
      <c r="D942" t="s">
        <v>1711</v>
      </c>
      <c r="E942" t="s">
        <v>21</v>
      </c>
      <c r="F942" t="str">
        <f>"00649451"</f>
        <v>00649451</v>
      </c>
      <c r="G942">
        <v>16.2</v>
      </c>
      <c r="H942">
        <v>0</v>
      </c>
      <c r="I942">
        <v>0</v>
      </c>
      <c r="J942">
        <v>0</v>
      </c>
      <c r="K942">
        <v>0</v>
      </c>
      <c r="O942">
        <v>0</v>
      </c>
      <c r="P942">
        <v>0</v>
      </c>
      <c r="Q942">
        <v>0</v>
      </c>
      <c r="R942">
        <v>16.2</v>
      </c>
      <c r="S942">
        <v>0</v>
      </c>
      <c r="T942">
        <v>0</v>
      </c>
      <c r="U942">
        <v>0</v>
      </c>
      <c r="V942">
        <v>0</v>
      </c>
      <c r="W942" t="s">
        <v>14</v>
      </c>
      <c r="X942">
        <v>16.2</v>
      </c>
    </row>
    <row r="943" spans="1:24" ht="15">
      <c r="A943">
        <v>936</v>
      </c>
      <c r="B943">
        <v>74273</v>
      </c>
      <c r="C943" t="s">
        <v>2289</v>
      </c>
      <c r="D943" t="s">
        <v>27</v>
      </c>
      <c r="E943" t="s">
        <v>135</v>
      </c>
      <c r="F943" t="str">
        <f>"00630291"</f>
        <v>00630291</v>
      </c>
      <c r="G943">
        <v>16.15</v>
      </c>
      <c r="H943">
        <v>0</v>
      </c>
      <c r="I943">
        <v>0</v>
      </c>
      <c r="J943">
        <v>0</v>
      </c>
      <c r="K943">
        <v>0</v>
      </c>
      <c r="O943">
        <v>0</v>
      </c>
      <c r="P943">
        <v>0</v>
      </c>
      <c r="Q943">
        <v>0</v>
      </c>
      <c r="R943">
        <v>16.15</v>
      </c>
      <c r="S943">
        <v>0</v>
      </c>
      <c r="T943">
        <v>0</v>
      </c>
      <c r="U943">
        <v>0</v>
      </c>
      <c r="V943">
        <v>0</v>
      </c>
      <c r="W943" t="s">
        <v>14</v>
      </c>
      <c r="X943">
        <v>16.15</v>
      </c>
    </row>
    <row r="944" spans="1:24" ht="15">
      <c r="A944">
        <v>937</v>
      </c>
      <c r="B944">
        <v>797</v>
      </c>
      <c r="C944" t="s">
        <v>2290</v>
      </c>
      <c r="D944" t="s">
        <v>2291</v>
      </c>
      <c r="E944" t="s">
        <v>111</v>
      </c>
      <c r="F944" t="str">
        <f>"00359270"</f>
        <v>00359270</v>
      </c>
      <c r="G944">
        <v>16.08</v>
      </c>
      <c r="H944">
        <v>0</v>
      </c>
      <c r="I944">
        <v>0</v>
      </c>
      <c r="J944">
        <v>0</v>
      </c>
      <c r="K944">
        <v>0</v>
      </c>
      <c r="O944">
        <v>0</v>
      </c>
      <c r="P944">
        <v>0</v>
      </c>
      <c r="Q944">
        <v>0</v>
      </c>
      <c r="R944">
        <v>16.08</v>
      </c>
      <c r="S944">
        <v>0</v>
      </c>
      <c r="T944">
        <v>0</v>
      </c>
      <c r="U944">
        <v>0</v>
      </c>
      <c r="V944">
        <v>0</v>
      </c>
      <c r="W944" t="s">
        <v>14</v>
      </c>
      <c r="X944">
        <v>16.08</v>
      </c>
    </row>
    <row r="945" spans="1:24" ht="15">
      <c r="A945">
        <v>938</v>
      </c>
      <c r="B945">
        <v>80501</v>
      </c>
      <c r="C945" t="s">
        <v>2293</v>
      </c>
      <c r="D945" t="s">
        <v>20</v>
      </c>
      <c r="E945" t="s">
        <v>465</v>
      </c>
      <c r="F945" t="str">
        <f>"00630128"</f>
        <v>00630128</v>
      </c>
      <c r="G945">
        <v>15.95</v>
      </c>
      <c r="H945">
        <v>0</v>
      </c>
      <c r="I945">
        <v>0</v>
      </c>
      <c r="J945">
        <v>0</v>
      </c>
      <c r="K945">
        <v>0</v>
      </c>
      <c r="O945">
        <v>0</v>
      </c>
      <c r="P945">
        <v>0</v>
      </c>
      <c r="Q945">
        <v>0</v>
      </c>
      <c r="R945">
        <v>15.95</v>
      </c>
      <c r="S945">
        <v>0</v>
      </c>
      <c r="T945">
        <v>0</v>
      </c>
      <c r="U945">
        <v>0</v>
      </c>
      <c r="V945">
        <v>0</v>
      </c>
      <c r="W945" t="s">
        <v>14</v>
      </c>
      <c r="X945">
        <v>15.95</v>
      </c>
    </row>
    <row r="946" spans="1:24" ht="15">
      <c r="A946">
        <v>939</v>
      </c>
      <c r="B946">
        <v>86221</v>
      </c>
      <c r="C946" t="s">
        <v>2298</v>
      </c>
      <c r="D946" t="s">
        <v>17</v>
      </c>
      <c r="E946" t="s">
        <v>23</v>
      </c>
      <c r="F946" t="str">
        <f>"00639351"</f>
        <v>00639351</v>
      </c>
      <c r="G946">
        <v>15.33</v>
      </c>
      <c r="H946">
        <v>0</v>
      </c>
      <c r="I946">
        <v>0</v>
      </c>
      <c r="J946">
        <v>0</v>
      </c>
      <c r="K946">
        <v>0</v>
      </c>
      <c r="O946">
        <v>0</v>
      </c>
      <c r="P946">
        <v>0</v>
      </c>
      <c r="Q946">
        <v>0</v>
      </c>
      <c r="R946">
        <v>15.33</v>
      </c>
      <c r="S946">
        <v>0</v>
      </c>
      <c r="T946">
        <v>0</v>
      </c>
      <c r="U946">
        <v>0</v>
      </c>
      <c r="V946">
        <v>0</v>
      </c>
      <c r="W946" t="s">
        <v>14</v>
      </c>
      <c r="X946">
        <v>15.33</v>
      </c>
    </row>
    <row r="947" spans="1:24" ht="15">
      <c r="A947">
        <v>940</v>
      </c>
      <c r="B947">
        <v>96046</v>
      </c>
      <c r="C947" t="s">
        <v>2299</v>
      </c>
      <c r="D947" t="s">
        <v>2300</v>
      </c>
      <c r="E947" t="s">
        <v>27</v>
      </c>
      <c r="F947" t="str">
        <f>"00650271"</f>
        <v>00650271</v>
      </c>
      <c r="G947">
        <v>15.13</v>
      </c>
      <c r="H947">
        <v>0</v>
      </c>
      <c r="I947">
        <v>0</v>
      </c>
      <c r="J947">
        <v>0</v>
      </c>
      <c r="K947">
        <v>0</v>
      </c>
      <c r="O947">
        <v>0</v>
      </c>
      <c r="P947">
        <v>0</v>
      </c>
      <c r="Q947">
        <v>0</v>
      </c>
      <c r="R947">
        <v>15.13</v>
      </c>
      <c r="S947">
        <v>0</v>
      </c>
      <c r="T947">
        <v>0</v>
      </c>
      <c r="U947">
        <v>0</v>
      </c>
      <c r="V947">
        <v>0</v>
      </c>
      <c r="W947" t="s">
        <v>14</v>
      </c>
      <c r="X947">
        <v>15.13</v>
      </c>
    </row>
    <row r="948" spans="1:24" ht="15">
      <c r="A948">
        <v>941</v>
      </c>
      <c r="B948">
        <v>102418</v>
      </c>
      <c r="C948" t="s">
        <v>2301</v>
      </c>
      <c r="D948" t="s">
        <v>252</v>
      </c>
      <c r="E948" t="s">
        <v>21</v>
      </c>
      <c r="F948" t="str">
        <f>"00650104"</f>
        <v>00650104</v>
      </c>
      <c r="G948">
        <v>15.1</v>
      </c>
      <c r="H948">
        <v>0</v>
      </c>
      <c r="I948">
        <v>0</v>
      </c>
      <c r="J948">
        <v>0</v>
      </c>
      <c r="K948">
        <v>0</v>
      </c>
      <c r="O948">
        <v>0</v>
      </c>
      <c r="P948">
        <v>0</v>
      </c>
      <c r="Q948">
        <v>0</v>
      </c>
      <c r="R948">
        <v>15.1</v>
      </c>
      <c r="S948">
        <v>0</v>
      </c>
      <c r="T948">
        <v>0</v>
      </c>
      <c r="U948">
        <v>0</v>
      </c>
      <c r="V948">
        <v>0</v>
      </c>
      <c r="W948" t="s">
        <v>14</v>
      </c>
      <c r="X948">
        <v>15.1</v>
      </c>
    </row>
    <row r="949" spans="1:24" ht="15">
      <c r="A949">
        <v>942</v>
      </c>
      <c r="B949">
        <v>110728</v>
      </c>
      <c r="C949" t="s">
        <v>2302</v>
      </c>
      <c r="D949" t="s">
        <v>284</v>
      </c>
      <c r="E949" t="s">
        <v>2303</v>
      </c>
      <c r="F949" t="str">
        <f>"00643702"</f>
        <v>00643702</v>
      </c>
      <c r="G949">
        <v>15.08</v>
      </c>
      <c r="H949">
        <v>0</v>
      </c>
      <c r="I949">
        <v>0</v>
      </c>
      <c r="J949">
        <v>0</v>
      </c>
      <c r="K949">
        <v>0</v>
      </c>
      <c r="O949">
        <v>0</v>
      </c>
      <c r="P949">
        <v>0</v>
      </c>
      <c r="Q949">
        <v>0</v>
      </c>
      <c r="R949">
        <v>15.08</v>
      </c>
      <c r="S949">
        <v>0</v>
      </c>
      <c r="T949">
        <v>0</v>
      </c>
      <c r="U949">
        <v>0</v>
      </c>
      <c r="V949">
        <v>0</v>
      </c>
      <c r="W949" t="s">
        <v>14</v>
      </c>
      <c r="X949">
        <v>15.08</v>
      </c>
    </row>
    <row r="950" spans="1:24" ht="15">
      <c r="A950">
        <v>943</v>
      </c>
      <c r="B950">
        <v>110921</v>
      </c>
      <c r="C950" t="s">
        <v>1094</v>
      </c>
      <c r="D950" t="s">
        <v>1889</v>
      </c>
      <c r="E950" t="s">
        <v>12</v>
      </c>
      <c r="F950" t="str">
        <f>"00631303"</f>
        <v>00631303</v>
      </c>
      <c r="G950">
        <v>15</v>
      </c>
      <c r="H950">
        <v>0</v>
      </c>
      <c r="I950">
        <v>0</v>
      </c>
      <c r="J950">
        <v>0</v>
      </c>
      <c r="K950">
        <v>0</v>
      </c>
      <c r="O950">
        <v>0</v>
      </c>
      <c r="P950">
        <v>0</v>
      </c>
      <c r="Q950">
        <v>0</v>
      </c>
      <c r="R950">
        <v>15</v>
      </c>
      <c r="S950">
        <v>0</v>
      </c>
      <c r="T950">
        <v>0</v>
      </c>
      <c r="U950">
        <v>0</v>
      </c>
      <c r="V950">
        <v>0</v>
      </c>
      <c r="W950" t="s">
        <v>14</v>
      </c>
      <c r="X950">
        <v>15</v>
      </c>
    </row>
    <row r="951" spans="1:24" ht="15">
      <c r="A951">
        <v>944</v>
      </c>
      <c r="B951">
        <v>95537</v>
      </c>
      <c r="C951" t="s">
        <v>2305</v>
      </c>
      <c r="D951" t="s">
        <v>124</v>
      </c>
      <c r="E951" t="s">
        <v>30</v>
      </c>
      <c r="F951" t="str">
        <f>"00606228"</f>
        <v>00606228</v>
      </c>
      <c r="G951">
        <v>14.95</v>
      </c>
      <c r="H951">
        <v>0</v>
      </c>
      <c r="I951">
        <v>0</v>
      </c>
      <c r="J951">
        <v>0</v>
      </c>
      <c r="K951">
        <v>0</v>
      </c>
      <c r="O951">
        <v>0</v>
      </c>
      <c r="P951">
        <v>0</v>
      </c>
      <c r="Q951">
        <v>0</v>
      </c>
      <c r="R951">
        <v>14.95</v>
      </c>
      <c r="S951">
        <v>0</v>
      </c>
      <c r="T951">
        <v>0</v>
      </c>
      <c r="U951">
        <v>0</v>
      </c>
      <c r="V951">
        <v>0</v>
      </c>
      <c r="W951" t="s">
        <v>14</v>
      </c>
      <c r="X951">
        <v>14.95</v>
      </c>
    </row>
    <row r="952" spans="1:24" ht="15">
      <c r="A952">
        <v>945</v>
      </c>
      <c r="B952">
        <v>112356</v>
      </c>
      <c r="C952" t="s">
        <v>2159</v>
      </c>
      <c r="D952" t="s">
        <v>41</v>
      </c>
      <c r="E952" t="s">
        <v>53</v>
      </c>
      <c r="F952" t="str">
        <f>"00187494"</f>
        <v>00187494</v>
      </c>
      <c r="G952">
        <v>14.43</v>
      </c>
      <c r="H952">
        <v>0</v>
      </c>
      <c r="I952">
        <v>0</v>
      </c>
      <c r="J952">
        <v>0</v>
      </c>
      <c r="K952">
        <v>0</v>
      </c>
      <c r="O952">
        <v>0</v>
      </c>
      <c r="P952">
        <v>0</v>
      </c>
      <c r="Q952">
        <v>0</v>
      </c>
      <c r="R952">
        <v>14.43</v>
      </c>
      <c r="S952">
        <v>0</v>
      </c>
      <c r="T952">
        <v>0</v>
      </c>
      <c r="U952">
        <v>0</v>
      </c>
      <c r="V952">
        <v>0</v>
      </c>
      <c r="W952" t="s">
        <v>14</v>
      </c>
      <c r="X952">
        <v>14.43</v>
      </c>
    </row>
    <row r="953" spans="1:24" ht="15">
      <c r="A953">
        <v>946</v>
      </c>
      <c r="B953">
        <v>82895</v>
      </c>
      <c r="C953" t="s">
        <v>25</v>
      </c>
      <c r="D953" t="s">
        <v>26</v>
      </c>
      <c r="E953" t="s">
        <v>27</v>
      </c>
      <c r="F953" t="str">
        <f>"00599958"</f>
        <v>00599958</v>
      </c>
      <c r="G953">
        <v>21.15</v>
      </c>
      <c r="H953">
        <v>7</v>
      </c>
      <c r="I953">
        <v>0</v>
      </c>
      <c r="J953">
        <v>28</v>
      </c>
      <c r="K953">
        <v>28</v>
      </c>
      <c r="O953">
        <v>0</v>
      </c>
      <c r="P953">
        <v>0</v>
      </c>
      <c r="Q953">
        <v>0</v>
      </c>
      <c r="R953">
        <v>56.15</v>
      </c>
      <c r="S953">
        <v>93</v>
      </c>
      <c r="T953">
        <v>93</v>
      </c>
      <c r="U953">
        <v>0</v>
      </c>
      <c r="V953">
        <v>0</v>
      </c>
      <c r="X953">
        <v>149.15</v>
      </c>
    </row>
    <row r="954" spans="1:24" ht="15">
      <c r="A954">
        <v>947</v>
      </c>
      <c r="B954">
        <v>52547</v>
      </c>
      <c r="C954" t="s">
        <v>57</v>
      </c>
      <c r="D954" t="s">
        <v>58</v>
      </c>
      <c r="E954" t="s">
        <v>17</v>
      </c>
      <c r="F954" t="str">
        <f>"00239376"</f>
        <v>00239376</v>
      </c>
      <c r="G954">
        <v>22.55</v>
      </c>
      <c r="H954">
        <v>0</v>
      </c>
      <c r="I954">
        <v>40</v>
      </c>
      <c r="J954">
        <v>28</v>
      </c>
      <c r="K954">
        <v>28</v>
      </c>
      <c r="L954">
        <v>14</v>
      </c>
      <c r="O954">
        <v>14</v>
      </c>
      <c r="P954">
        <v>4</v>
      </c>
      <c r="Q954">
        <v>0</v>
      </c>
      <c r="R954">
        <v>108.55</v>
      </c>
      <c r="S954">
        <v>0</v>
      </c>
      <c r="T954">
        <v>0</v>
      </c>
      <c r="U954">
        <v>6</v>
      </c>
      <c r="V954">
        <v>0</v>
      </c>
      <c r="X954">
        <v>114.55</v>
      </c>
    </row>
    <row r="955" spans="1:24" ht="15">
      <c r="A955">
        <v>948</v>
      </c>
      <c r="B955">
        <v>32000</v>
      </c>
      <c r="C955" t="s">
        <v>74</v>
      </c>
      <c r="D955" t="s">
        <v>75</v>
      </c>
      <c r="E955" t="s">
        <v>76</v>
      </c>
      <c r="F955" t="str">
        <f>"00363426"</f>
        <v>00363426</v>
      </c>
      <c r="G955">
        <v>17.58</v>
      </c>
      <c r="H955">
        <v>0</v>
      </c>
      <c r="I955">
        <v>40</v>
      </c>
      <c r="J955">
        <v>28</v>
      </c>
      <c r="K955">
        <v>28</v>
      </c>
      <c r="L955">
        <v>14</v>
      </c>
      <c r="O955">
        <v>14</v>
      </c>
      <c r="P955">
        <v>4</v>
      </c>
      <c r="Q955">
        <v>0</v>
      </c>
      <c r="R955">
        <v>103.58</v>
      </c>
      <c r="S955">
        <v>0</v>
      </c>
      <c r="T955">
        <v>0</v>
      </c>
      <c r="U955">
        <v>6</v>
      </c>
      <c r="V955">
        <v>0</v>
      </c>
      <c r="X955">
        <v>109.58</v>
      </c>
    </row>
    <row r="956" spans="1:24" ht="15">
      <c r="A956">
        <v>949</v>
      </c>
      <c r="B956">
        <v>99817</v>
      </c>
      <c r="C956" t="s">
        <v>84</v>
      </c>
      <c r="D956" t="s">
        <v>17</v>
      </c>
      <c r="E956" t="s">
        <v>53</v>
      </c>
      <c r="F956" t="str">
        <f>"00642282"</f>
        <v>00642282</v>
      </c>
      <c r="G956">
        <v>20.33</v>
      </c>
      <c r="H956">
        <v>0</v>
      </c>
      <c r="I956">
        <v>40</v>
      </c>
      <c r="J956">
        <v>28</v>
      </c>
      <c r="K956">
        <v>28</v>
      </c>
      <c r="L956">
        <v>7</v>
      </c>
      <c r="M956">
        <v>5</v>
      </c>
      <c r="O956">
        <v>12</v>
      </c>
      <c r="P956">
        <v>4</v>
      </c>
      <c r="Q956">
        <v>0</v>
      </c>
      <c r="R956">
        <v>104.33</v>
      </c>
      <c r="S956">
        <v>0</v>
      </c>
      <c r="T956">
        <v>0</v>
      </c>
      <c r="U956">
        <v>3</v>
      </c>
      <c r="V956">
        <v>0</v>
      </c>
      <c r="X956">
        <v>107.33</v>
      </c>
    </row>
    <row r="957" spans="1:24" ht="15">
      <c r="A957">
        <v>950</v>
      </c>
      <c r="B957">
        <v>90124</v>
      </c>
      <c r="C957" t="s">
        <v>85</v>
      </c>
      <c r="D957" t="s">
        <v>86</v>
      </c>
      <c r="E957" t="s">
        <v>30</v>
      </c>
      <c r="F957" t="str">
        <f>"00564336"</f>
        <v>00564336</v>
      </c>
      <c r="G957">
        <v>21.33</v>
      </c>
      <c r="H957">
        <v>0</v>
      </c>
      <c r="I957">
        <v>40</v>
      </c>
      <c r="J957">
        <v>28</v>
      </c>
      <c r="K957">
        <v>28</v>
      </c>
      <c r="L957">
        <v>14</v>
      </c>
      <c r="O957">
        <v>14</v>
      </c>
      <c r="P957">
        <v>4</v>
      </c>
      <c r="Q957">
        <v>0</v>
      </c>
      <c r="R957">
        <v>107.33</v>
      </c>
      <c r="S957">
        <v>0</v>
      </c>
      <c r="T957">
        <v>0</v>
      </c>
      <c r="U957">
        <v>0</v>
      </c>
      <c r="V957">
        <v>0</v>
      </c>
      <c r="X957">
        <v>107.33</v>
      </c>
    </row>
    <row r="958" spans="1:24" ht="15">
      <c r="A958">
        <v>951</v>
      </c>
      <c r="B958">
        <v>104767</v>
      </c>
      <c r="C958" t="s">
        <v>87</v>
      </c>
      <c r="D958" t="s">
        <v>88</v>
      </c>
      <c r="E958" t="s">
        <v>21</v>
      </c>
      <c r="F958" t="str">
        <f>"00015600"</f>
        <v>00015600</v>
      </c>
      <c r="G958">
        <v>18.63</v>
      </c>
      <c r="H958">
        <v>0</v>
      </c>
      <c r="I958">
        <v>40</v>
      </c>
      <c r="J958">
        <v>28</v>
      </c>
      <c r="K958">
        <v>28</v>
      </c>
      <c r="L958">
        <v>7</v>
      </c>
      <c r="N958">
        <v>3</v>
      </c>
      <c r="O958">
        <v>10</v>
      </c>
      <c r="P958">
        <v>4</v>
      </c>
      <c r="Q958">
        <v>0</v>
      </c>
      <c r="R958">
        <v>100.63</v>
      </c>
      <c r="S958">
        <v>0</v>
      </c>
      <c r="T958">
        <v>0</v>
      </c>
      <c r="U958">
        <v>6</v>
      </c>
      <c r="V958">
        <v>0</v>
      </c>
      <c r="X958">
        <v>106.63</v>
      </c>
    </row>
    <row r="959" spans="1:24" ht="15">
      <c r="A959">
        <v>952</v>
      </c>
      <c r="B959">
        <v>65171</v>
      </c>
      <c r="C959" t="s">
        <v>89</v>
      </c>
      <c r="D959" t="s">
        <v>90</v>
      </c>
      <c r="E959" t="s">
        <v>91</v>
      </c>
      <c r="F959" t="str">
        <f>"00471057"</f>
        <v>00471057</v>
      </c>
      <c r="G959">
        <v>20.25</v>
      </c>
      <c r="H959">
        <v>0</v>
      </c>
      <c r="I959">
        <v>40</v>
      </c>
      <c r="J959">
        <v>28</v>
      </c>
      <c r="K959">
        <v>28</v>
      </c>
      <c r="L959">
        <v>14</v>
      </c>
      <c r="O959">
        <v>14</v>
      </c>
      <c r="P959">
        <v>4</v>
      </c>
      <c r="Q959">
        <v>0</v>
      </c>
      <c r="R959">
        <v>106.25</v>
      </c>
      <c r="S959">
        <v>0</v>
      </c>
      <c r="T959">
        <v>0</v>
      </c>
      <c r="U959">
        <v>0</v>
      </c>
      <c r="V959">
        <v>0</v>
      </c>
      <c r="X959">
        <v>106.25</v>
      </c>
    </row>
    <row r="960" spans="1:24" ht="15">
      <c r="A960">
        <v>953</v>
      </c>
      <c r="B960">
        <v>28978</v>
      </c>
      <c r="C960" t="s">
        <v>92</v>
      </c>
      <c r="D960" t="s">
        <v>29</v>
      </c>
      <c r="E960" t="s">
        <v>93</v>
      </c>
      <c r="F960" t="str">
        <f>"00020387"</f>
        <v>00020387</v>
      </c>
      <c r="G960">
        <v>20.13</v>
      </c>
      <c r="H960">
        <v>0</v>
      </c>
      <c r="I960">
        <v>40</v>
      </c>
      <c r="J960">
        <v>28</v>
      </c>
      <c r="K960">
        <v>28</v>
      </c>
      <c r="L960">
        <v>14</v>
      </c>
      <c r="O960">
        <v>14</v>
      </c>
      <c r="P960">
        <v>4</v>
      </c>
      <c r="Q960">
        <v>0</v>
      </c>
      <c r="R960">
        <v>106.13</v>
      </c>
      <c r="S960">
        <v>0</v>
      </c>
      <c r="T960">
        <v>0</v>
      </c>
      <c r="U960">
        <v>0</v>
      </c>
      <c r="V960">
        <v>0</v>
      </c>
      <c r="X960">
        <v>106.13</v>
      </c>
    </row>
    <row r="961" spans="1:24" ht="15">
      <c r="A961">
        <v>954</v>
      </c>
      <c r="B961">
        <v>63038</v>
      </c>
      <c r="C961" t="s">
        <v>94</v>
      </c>
      <c r="D961" t="s">
        <v>95</v>
      </c>
      <c r="E961" t="s">
        <v>80</v>
      </c>
      <c r="F961" t="str">
        <f>"00566878"</f>
        <v>00566878</v>
      </c>
      <c r="G961">
        <v>19.58</v>
      </c>
      <c r="H961">
        <v>0</v>
      </c>
      <c r="I961">
        <v>40</v>
      </c>
      <c r="J961">
        <v>28</v>
      </c>
      <c r="K961">
        <v>28</v>
      </c>
      <c r="L961">
        <v>14</v>
      </c>
      <c r="O961">
        <v>14</v>
      </c>
      <c r="P961">
        <v>4</v>
      </c>
      <c r="Q961">
        <v>0</v>
      </c>
      <c r="R961">
        <v>105.58</v>
      </c>
      <c r="S961">
        <v>0</v>
      </c>
      <c r="T961">
        <v>0</v>
      </c>
      <c r="U961">
        <v>0</v>
      </c>
      <c r="V961">
        <v>0</v>
      </c>
      <c r="X961">
        <v>105.58</v>
      </c>
    </row>
    <row r="962" spans="1:24" ht="15">
      <c r="A962">
        <v>955</v>
      </c>
      <c r="B962">
        <v>24802</v>
      </c>
      <c r="C962" t="s">
        <v>98</v>
      </c>
      <c r="D962" t="s">
        <v>99</v>
      </c>
      <c r="E962" t="s">
        <v>27</v>
      </c>
      <c r="F962" t="str">
        <f>"00452215"</f>
        <v>00452215</v>
      </c>
      <c r="G962">
        <v>23.18</v>
      </c>
      <c r="H962">
        <v>0</v>
      </c>
      <c r="I962">
        <v>40</v>
      </c>
      <c r="J962">
        <v>28</v>
      </c>
      <c r="K962">
        <v>28</v>
      </c>
      <c r="L962">
        <v>7</v>
      </c>
      <c r="O962">
        <v>7</v>
      </c>
      <c r="P962">
        <v>4</v>
      </c>
      <c r="Q962">
        <v>0</v>
      </c>
      <c r="R962">
        <v>102.18</v>
      </c>
      <c r="S962">
        <v>0</v>
      </c>
      <c r="T962">
        <v>0</v>
      </c>
      <c r="U962">
        <v>3</v>
      </c>
      <c r="V962">
        <v>0</v>
      </c>
      <c r="X962">
        <v>105.18</v>
      </c>
    </row>
    <row r="963" spans="1:24" ht="15">
      <c r="A963">
        <v>956</v>
      </c>
      <c r="B963">
        <v>6405</v>
      </c>
      <c r="C963" t="s">
        <v>102</v>
      </c>
      <c r="D963" t="s">
        <v>16</v>
      </c>
      <c r="E963" t="s">
        <v>17</v>
      </c>
      <c r="F963" t="str">
        <f>"201504001300"</f>
        <v>201504001300</v>
      </c>
      <c r="G963">
        <v>19.8</v>
      </c>
      <c r="H963">
        <v>0</v>
      </c>
      <c r="I963">
        <v>40</v>
      </c>
      <c r="J963">
        <v>28</v>
      </c>
      <c r="K963">
        <v>28</v>
      </c>
      <c r="L963">
        <v>7</v>
      </c>
      <c r="O963">
        <v>7</v>
      </c>
      <c r="P963">
        <v>4</v>
      </c>
      <c r="Q963">
        <v>0</v>
      </c>
      <c r="R963">
        <v>98.8</v>
      </c>
      <c r="S963">
        <v>0</v>
      </c>
      <c r="T963">
        <v>0</v>
      </c>
      <c r="U963">
        <v>6</v>
      </c>
      <c r="V963">
        <v>0</v>
      </c>
      <c r="X963">
        <v>104.8</v>
      </c>
    </row>
    <row r="964" spans="1:24" ht="15">
      <c r="A964">
        <v>957</v>
      </c>
      <c r="B964">
        <v>69009</v>
      </c>
      <c r="C964" t="s">
        <v>103</v>
      </c>
      <c r="D964" t="s">
        <v>16</v>
      </c>
      <c r="E964" t="s">
        <v>104</v>
      </c>
      <c r="F964" t="str">
        <f>"00023238"</f>
        <v>00023238</v>
      </c>
      <c r="G964">
        <v>19.7</v>
      </c>
      <c r="H964">
        <v>0</v>
      </c>
      <c r="I964">
        <v>40</v>
      </c>
      <c r="J964">
        <v>28</v>
      </c>
      <c r="K964">
        <v>28</v>
      </c>
      <c r="L964">
        <v>7</v>
      </c>
      <c r="O964">
        <v>7</v>
      </c>
      <c r="P964">
        <v>4</v>
      </c>
      <c r="Q964">
        <v>0</v>
      </c>
      <c r="R964">
        <v>98.7</v>
      </c>
      <c r="S964">
        <v>0</v>
      </c>
      <c r="T964">
        <v>0</v>
      </c>
      <c r="U964">
        <v>6</v>
      </c>
      <c r="V964">
        <v>0</v>
      </c>
      <c r="X964">
        <v>104.7</v>
      </c>
    </row>
    <row r="965" spans="1:24" ht="15">
      <c r="A965">
        <v>958</v>
      </c>
      <c r="B965">
        <v>38364</v>
      </c>
      <c r="C965" t="s">
        <v>107</v>
      </c>
      <c r="D965" t="s">
        <v>90</v>
      </c>
      <c r="E965" t="s">
        <v>53</v>
      </c>
      <c r="F965" t="str">
        <f>"00625946"</f>
        <v>00625946</v>
      </c>
      <c r="G965">
        <v>20.45</v>
      </c>
      <c r="H965">
        <v>0</v>
      </c>
      <c r="I965">
        <v>40</v>
      </c>
      <c r="J965">
        <v>28</v>
      </c>
      <c r="K965">
        <v>28</v>
      </c>
      <c r="L965">
        <v>7</v>
      </c>
      <c r="M965">
        <v>5</v>
      </c>
      <c r="O965">
        <v>12</v>
      </c>
      <c r="P965">
        <v>0</v>
      </c>
      <c r="Q965">
        <v>0</v>
      </c>
      <c r="R965">
        <v>100.45</v>
      </c>
      <c r="S965">
        <v>0</v>
      </c>
      <c r="T965">
        <v>0</v>
      </c>
      <c r="U965">
        <v>3</v>
      </c>
      <c r="V965">
        <v>0</v>
      </c>
      <c r="X965">
        <v>103.45</v>
      </c>
    </row>
    <row r="966" spans="1:24" ht="15">
      <c r="A966">
        <v>959</v>
      </c>
      <c r="B966">
        <v>84118</v>
      </c>
      <c r="C966" t="s">
        <v>112</v>
      </c>
      <c r="D966" t="s">
        <v>113</v>
      </c>
      <c r="E966" t="s">
        <v>114</v>
      </c>
      <c r="F966" t="str">
        <f>"00017767"</f>
        <v>00017767</v>
      </c>
      <c r="G966">
        <v>17.28</v>
      </c>
      <c r="H966">
        <v>0</v>
      </c>
      <c r="I966">
        <v>40</v>
      </c>
      <c r="J966">
        <v>28</v>
      </c>
      <c r="K966">
        <v>28</v>
      </c>
      <c r="L966">
        <v>7</v>
      </c>
      <c r="O966">
        <v>7</v>
      </c>
      <c r="P966">
        <v>4</v>
      </c>
      <c r="Q966">
        <v>0</v>
      </c>
      <c r="R966">
        <v>96.28</v>
      </c>
      <c r="S966">
        <v>0</v>
      </c>
      <c r="T966">
        <v>0</v>
      </c>
      <c r="U966">
        <v>6</v>
      </c>
      <c r="V966">
        <v>0</v>
      </c>
      <c r="X966">
        <v>102.28</v>
      </c>
    </row>
    <row r="967" spans="1:24" ht="15">
      <c r="A967">
        <v>960</v>
      </c>
      <c r="B967">
        <v>77696</v>
      </c>
      <c r="C967" t="s">
        <v>121</v>
      </c>
      <c r="D967" t="s">
        <v>122</v>
      </c>
      <c r="E967" t="s">
        <v>23</v>
      </c>
      <c r="F967" t="str">
        <f>"00029758"</f>
        <v>00029758</v>
      </c>
      <c r="G967">
        <v>18.05</v>
      </c>
      <c r="H967">
        <v>0</v>
      </c>
      <c r="I967">
        <v>40</v>
      </c>
      <c r="J967">
        <v>28</v>
      </c>
      <c r="K967">
        <v>28</v>
      </c>
      <c r="M967">
        <v>5</v>
      </c>
      <c r="N967">
        <v>3</v>
      </c>
      <c r="O967">
        <v>8</v>
      </c>
      <c r="P967">
        <v>4</v>
      </c>
      <c r="Q967">
        <v>0</v>
      </c>
      <c r="R967">
        <v>98.05</v>
      </c>
      <c r="S967">
        <v>0</v>
      </c>
      <c r="T967">
        <v>0</v>
      </c>
      <c r="U967">
        <v>3</v>
      </c>
      <c r="V967">
        <v>0</v>
      </c>
      <c r="X967">
        <v>101.05</v>
      </c>
    </row>
    <row r="968" spans="1:24" ht="15">
      <c r="A968">
        <v>961</v>
      </c>
      <c r="B968">
        <v>115530</v>
      </c>
      <c r="C968" t="s">
        <v>123</v>
      </c>
      <c r="D968" t="s">
        <v>124</v>
      </c>
      <c r="E968" t="s">
        <v>12</v>
      </c>
      <c r="F968" t="str">
        <f>"00625623"</f>
        <v>00625623</v>
      </c>
      <c r="G968">
        <v>18.73</v>
      </c>
      <c r="H968">
        <v>0</v>
      </c>
      <c r="I968">
        <v>40</v>
      </c>
      <c r="J968">
        <v>28</v>
      </c>
      <c r="K968">
        <v>28</v>
      </c>
      <c r="M968">
        <v>5</v>
      </c>
      <c r="N968">
        <v>3</v>
      </c>
      <c r="O968">
        <v>8</v>
      </c>
      <c r="P968">
        <v>0</v>
      </c>
      <c r="Q968">
        <v>0</v>
      </c>
      <c r="R968">
        <v>94.73</v>
      </c>
      <c r="S968">
        <v>0</v>
      </c>
      <c r="T968">
        <v>0</v>
      </c>
      <c r="U968">
        <v>6</v>
      </c>
      <c r="V968">
        <v>0</v>
      </c>
      <c r="X968">
        <v>100.73</v>
      </c>
    </row>
    <row r="969" spans="1:24" ht="15">
      <c r="A969">
        <v>962</v>
      </c>
      <c r="B969">
        <v>89589</v>
      </c>
      <c r="C969" t="s">
        <v>125</v>
      </c>
      <c r="D969" t="s">
        <v>111</v>
      </c>
      <c r="E969" t="s">
        <v>12</v>
      </c>
      <c r="F969" t="str">
        <f>"201511023507"</f>
        <v>201511023507</v>
      </c>
      <c r="G969">
        <v>15.68</v>
      </c>
      <c r="H969">
        <v>0</v>
      </c>
      <c r="I969">
        <v>0</v>
      </c>
      <c r="J969">
        <v>28</v>
      </c>
      <c r="K969">
        <v>28</v>
      </c>
      <c r="L969">
        <v>7</v>
      </c>
      <c r="M969">
        <v>5</v>
      </c>
      <c r="O969">
        <v>12</v>
      </c>
      <c r="P969">
        <v>4</v>
      </c>
      <c r="Q969">
        <v>0</v>
      </c>
      <c r="R969">
        <v>59.68</v>
      </c>
      <c r="S969">
        <v>0</v>
      </c>
      <c r="T969">
        <v>0</v>
      </c>
      <c r="U969">
        <v>9</v>
      </c>
      <c r="V969">
        <v>32</v>
      </c>
      <c r="X969">
        <v>100.68</v>
      </c>
    </row>
    <row r="970" spans="1:24" ht="15">
      <c r="A970">
        <v>963</v>
      </c>
      <c r="B970">
        <v>105620</v>
      </c>
      <c r="C970" t="s">
        <v>129</v>
      </c>
      <c r="D970" t="s">
        <v>113</v>
      </c>
      <c r="E970" t="s">
        <v>17</v>
      </c>
      <c r="F970" t="str">
        <f>"00494290"</f>
        <v>00494290</v>
      </c>
      <c r="G970">
        <v>18.13</v>
      </c>
      <c r="H970">
        <v>7</v>
      </c>
      <c r="I970">
        <v>40</v>
      </c>
      <c r="J970">
        <v>28</v>
      </c>
      <c r="K970">
        <v>28</v>
      </c>
      <c r="N970">
        <v>3</v>
      </c>
      <c r="O970">
        <v>3</v>
      </c>
      <c r="P970">
        <v>4</v>
      </c>
      <c r="Q970">
        <v>0</v>
      </c>
      <c r="R970">
        <v>100.13</v>
      </c>
      <c r="S970">
        <v>0</v>
      </c>
      <c r="T970">
        <v>0</v>
      </c>
      <c r="U970">
        <v>0</v>
      </c>
      <c r="V970">
        <v>0</v>
      </c>
      <c r="X970">
        <v>100.13</v>
      </c>
    </row>
    <row r="971" spans="1:24" ht="15">
      <c r="A971">
        <v>964</v>
      </c>
      <c r="B971">
        <v>1818</v>
      </c>
      <c r="C971" t="s">
        <v>130</v>
      </c>
      <c r="D971" t="s">
        <v>37</v>
      </c>
      <c r="E971" t="s">
        <v>131</v>
      </c>
      <c r="F971" t="str">
        <f>"00602817"</f>
        <v>00602817</v>
      </c>
      <c r="G971">
        <v>21.4</v>
      </c>
      <c r="H971">
        <v>0</v>
      </c>
      <c r="I971">
        <v>40</v>
      </c>
      <c r="J971">
        <v>20</v>
      </c>
      <c r="K971">
        <v>20</v>
      </c>
      <c r="L971">
        <v>14</v>
      </c>
      <c r="O971">
        <v>14</v>
      </c>
      <c r="P971">
        <v>4</v>
      </c>
      <c r="Q971">
        <v>0</v>
      </c>
      <c r="R971">
        <v>99.4</v>
      </c>
      <c r="S971">
        <v>0</v>
      </c>
      <c r="T971">
        <v>0</v>
      </c>
      <c r="U971">
        <v>0</v>
      </c>
      <c r="V971">
        <v>0</v>
      </c>
      <c r="X971">
        <v>99.4</v>
      </c>
    </row>
    <row r="972" spans="1:24" ht="15">
      <c r="A972">
        <v>965</v>
      </c>
      <c r="B972">
        <v>87149</v>
      </c>
      <c r="C972" t="s">
        <v>132</v>
      </c>
      <c r="D972" t="s">
        <v>50</v>
      </c>
      <c r="E972" t="s">
        <v>21</v>
      </c>
      <c r="F972" t="str">
        <f>"201511042137"</f>
        <v>201511042137</v>
      </c>
      <c r="G972">
        <v>20.35</v>
      </c>
      <c r="H972">
        <v>0</v>
      </c>
      <c r="I972">
        <v>40</v>
      </c>
      <c r="J972">
        <v>28</v>
      </c>
      <c r="K972">
        <v>28</v>
      </c>
      <c r="L972">
        <v>7</v>
      </c>
      <c r="O972">
        <v>7</v>
      </c>
      <c r="P972">
        <v>4</v>
      </c>
      <c r="Q972">
        <v>0</v>
      </c>
      <c r="R972">
        <v>99.35</v>
      </c>
      <c r="S972">
        <v>0</v>
      </c>
      <c r="T972">
        <v>0</v>
      </c>
      <c r="U972">
        <v>0</v>
      </c>
      <c r="V972">
        <v>0</v>
      </c>
      <c r="X972">
        <v>99.35</v>
      </c>
    </row>
    <row r="973" spans="1:24" ht="15">
      <c r="A973">
        <v>966</v>
      </c>
      <c r="B973">
        <v>115074</v>
      </c>
      <c r="C973" t="s">
        <v>134</v>
      </c>
      <c r="D973" t="s">
        <v>111</v>
      </c>
      <c r="E973" t="s">
        <v>135</v>
      </c>
      <c r="F973" t="str">
        <f>"00562619"</f>
        <v>00562619</v>
      </c>
      <c r="G973">
        <v>19.95</v>
      </c>
      <c r="H973">
        <v>0</v>
      </c>
      <c r="I973">
        <v>40</v>
      </c>
      <c r="J973">
        <v>28</v>
      </c>
      <c r="K973">
        <v>28</v>
      </c>
      <c r="L973">
        <v>7</v>
      </c>
      <c r="O973">
        <v>7</v>
      </c>
      <c r="P973">
        <v>4</v>
      </c>
      <c r="Q973">
        <v>0</v>
      </c>
      <c r="R973">
        <v>98.95</v>
      </c>
      <c r="S973">
        <v>0</v>
      </c>
      <c r="T973">
        <v>0</v>
      </c>
      <c r="U973">
        <v>0</v>
      </c>
      <c r="V973">
        <v>0</v>
      </c>
      <c r="X973">
        <v>98.95</v>
      </c>
    </row>
    <row r="974" spans="1:24" ht="15">
      <c r="A974">
        <v>967</v>
      </c>
      <c r="B974">
        <v>91850</v>
      </c>
      <c r="C974" t="s">
        <v>136</v>
      </c>
      <c r="D974" t="s">
        <v>29</v>
      </c>
      <c r="E974" t="s">
        <v>27</v>
      </c>
      <c r="F974" t="str">
        <f>"00320252"</f>
        <v>00320252</v>
      </c>
      <c r="G974">
        <v>16.95</v>
      </c>
      <c r="H974">
        <v>0</v>
      </c>
      <c r="I974">
        <v>40</v>
      </c>
      <c r="J974">
        <v>28</v>
      </c>
      <c r="K974">
        <v>28</v>
      </c>
      <c r="L974">
        <v>7</v>
      </c>
      <c r="N974">
        <v>3</v>
      </c>
      <c r="O974">
        <v>10</v>
      </c>
      <c r="P974">
        <v>4</v>
      </c>
      <c r="Q974">
        <v>0</v>
      </c>
      <c r="R974">
        <v>98.95</v>
      </c>
      <c r="S974">
        <v>0</v>
      </c>
      <c r="T974">
        <v>0</v>
      </c>
      <c r="U974">
        <v>0</v>
      </c>
      <c r="V974">
        <v>0</v>
      </c>
      <c r="X974">
        <v>98.95</v>
      </c>
    </row>
    <row r="975" spans="1:24" ht="15">
      <c r="A975">
        <v>968</v>
      </c>
      <c r="B975">
        <v>63223</v>
      </c>
      <c r="C975" t="s">
        <v>137</v>
      </c>
      <c r="D975" t="s">
        <v>138</v>
      </c>
      <c r="E975" t="s">
        <v>139</v>
      </c>
      <c r="F975" t="str">
        <f>"201504003128"</f>
        <v>201504003128</v>
      </c>
      <c r="G975">
        <v>18.73</v>
      </c>
      <c r="H975">
        <v>0</v>
      </c>
      <c r="I975">
        <v>40</v>
      </c>
      <c r="J975">
        <v>28</v>
      </c>
      <c r="K975">
        <v>28</v>
      </c>
      <c r="M975">
        <v>5</v>
      </c>
      <c r="N975">
        <v>3</v>
      </c>
      <c r="O975">
        <v>8</v>
      </c>
      <c r="P975">
        <v>4</v>
      </c>
      <c r="Q975">
        <v>0</v>
      </c>
      <c r="R975">
        <v>98.73</v>
      </c>
      <c r="S975">
        <v>0</v>
      </c>
      <c r="T975">
        <v>0</v>
      </c>
      <c r="U975">
        <v>0</v>
      </c>
      <c r="V975">
        <v>0</v>
      </c>
      <c r="X975">
        <v>98.73</v>
      </c>
    </row>
    <row r="976" spans="1:24" ht="15">
      <c r="A976">
        <v>969</v>
      </c>
      <c r="B976">
        <v>18653</v>
      </c>
      <c r="C976" t="s">
        <v>142</v>
      </c>
      <c r="D976" t="s">
        <v>12</v>
      </c>
      <c r="E976" t="s">
        <v>27</v>
      </c>
      <c r="F976" t="str">
        <f>"00457283"</f>
        <v>00457283</v>
      </c>
      <c r="G976">
        <v>19.2</v>
      </c>
      <c r="H976">
        <v>0</v>
      </c>
      <c r="I976">
        <v>40</v>
      </c>
      <c r="J976">
        <v>28</v>
      </c>
      <c r="K976">
        <v>28</v>
      </c>
      <c r="L976">
        <v>7</v>
      </c>
      <c r="O976">
        <v>7</v>
      </c>
      <c r="P976">
        <v>4</v>
      </c>
      <c r="Q976">
        <v>0</v>
      </c>
      <c r="R976">
        <v>98.2</v>
      </c>
      <c r="S976">
        <v>0</v>
      </c>
      <c r="T976">
        <v>0</v>
      </c>
      <c r="U976">
        <v>0</v>
      </c>
      <c r="V976">
        <v>0</v>
      </c>
      <c r="X976">
        <v>98.2</v>
      </c>
    </row>
    <row r="977" spans="1:24" ht="15">
      <c r="A977">
        <v>970</v>
      </c>
      <c r="B977">
        <v>76192</v>
      </c>
      <c r="C977" t="s">
        <v>143</v>
      </c>
      <c r="D977" t="s">
        <v>91</v>
      </c>
      <c r="E977" t="s">
        <v>23</v>
      </c>
      <c r="F977" t="str">
        <f>"201504004112"</f>
        <v>201504004112</v>
      </c>
      <c r="G977">
        <v>24.1</v>
      </c>
      <c r="H977">
        <v>0</v>
      </c>
      <c r="I977">
        <v>40</v>
      </c>
      <c r="J977">
        <v>20</v>
      </c>
      <c r="K977">
        <v>20</v>
      </c>
      <c r="L977">
        <v>7</v>
      </c>
      <c r="N977">
        <v>3</v>
      </c>
      <c r="O977">
        <v>10</v>
      </c>
      <c r="P977">
        <v>4</v>
      </c>
      <c r="Q977">
        <v>0</v>
      </c>
      <c r="R977">
        <v>98.1</v>
      </c>
      <c r="S977">
        <v>0</v>
      </c>
      <c r="T977">
        <v>0</v>
      </c>
      <c r="U977">
        <v>0</v>
      </c>
      <c r="V977">
        <v>0</v>
      </c>
      <c r="X977">
        <v>98.1</v>
      </c>
    </row>
    <row r="978" spans="1:24" ht="15">
      <c r="A978">
        <v>971</v>
      </c>
      <c r="B978">
        <v>67992</v>
      </c>
      <c r="C978" t="s">
        <v>144</v>
      </c>
      <c r="D978" t="s">
        <v>91</v>
      </c>
      <c r="E978" t="s">
        <v>145</v>
      </c>
      <c r="F978" t="str">
        <f>"200901000447"</f>
        <v>200901000447</v>
      </c>
      <c r="G978">
        <v>16.83</v>
      </c>
      <c r="H978">
        <v>0</v>
      </c>
      <c r="I978">
        <v>40</v>
      </c>
      <c r="J978">
        <v>28</v>
      </c>
      <c r="K978">
        <v>28</v>
      </c>
      <c r="M978">
        <v>5</v>
      </c>
      <c r="O978">
        <v>5</v>
      </c>
      <c r="P978">
        <v>4</v>
      </c>
      <c r="Q978">
        <v>0</v>
      </c>
      <c r="R978">
        <v>93.83</v>
      </c>
      <c r="S978">
        <v>1</v>
      </c>
      <c r="T978">
        <v>1</v>
      </c>
      <c r="U978">
        <v>3</v>
      </c>
      <c r="V978">
        <v>0</v>
      </c>
      <c r="X978">
        <v>97.83</v>
      </c>
    </row>
    <row r="979" spans="1:24" ht="15">
      <c r="A979">
        <v>972</v>
      </c>
      <c r="B979">
        <v>62852</v>
      </c>
      <c r="C979" t="s">
        <v>152</v>
      </c>
      <c r="D979" t="s">
        <v>153</v>
      </c>
      <c r="E979" t="s">
        <v>24</v>
      </c>
      <c r="F979" t="str">
        <f>"00575443"</f>
        <v>00575443</v>
      </c>
      <c r="G979">
        <v>19.08</v>
      </c>
      <c r="H979">
        <v>7</v>
      </c>
      <c r="I979">
        <v>40</v>
      </c>
      <c r="J979">
        <v>20</v>
      </c>
      <c r="K979">
        <v>20</v>
      </c>
      <c r="L979">
        <v>7</v>
      </c>
      <c r="O979">
        <v>7</v>
      </c>
      <c r="P979">
        <v>4</v>
      </c>
      <c r="Q979">
        <v>0</v>
      </c>
      <c r="R979">
        <v>97.08</v>
      </c>
      <c r="S979">
        <v>0</v>
      </c>
      <c r="T979">
        <v>0</v>
      </c>
      <c r="U979">
        <v>0</v>
      </c>
      <c r="V979">
        <v>0</v>
      </c>
      <c r="X979">
        <v>97.08</v>
      </c>
    </row>
    <row r="980" spans="1:24" ht="15">
      <c r="A980">
        <v>973</v>
      </c>
      <c r="B980">
        <v>45478</v>
      </c>
      <c r="C980" t="s">
        <v>156</v>
      </c>
      <c r="D980" t="s">
        <v>27</v>
      </c>
      <c r="E980" t="s">
        <v>124</v>
      </c>
      <c r="F980" t="str">
        <f>"00575445"</f>
        <v>00575445</v>
      </c>
      <c r="G980">
        <v>18.93</v>
      </c>
      <c r="H980">
        <v>7</v>
      </c>
      <c r="I980">
        <v>40</v>
      </c>
      <c r="J980">
        <v>20</v>
      </c>
      <c r="K980">
        <v>20</v>
      </c>
      <c r="L980">
        <v>7</v>
      </c>
      <c r="O980">
        <v>7</v>
      </c>
      <c r="P980">
        <v>4</v>
      </c>
      <c r="Q980">
        <v>0</v>
      </c>
      <c r="R980">
        <v>96.93</v>
      </c>
      <c r="S980">
        <v>0</v>
      </c>
      <c r="T980">
        <v>0</v>
      </c>
      <c r="U980">
        <v>0</v>
      </c>
      <c r="V980">
        <v>0</v>
      </c>
      <c r="X980">
        <v>96.93</v>
      </c>
    </row>
    <row r="981" spans="1:24" ht="15">
      <c r="A981">
        <v>974</v>
      </c>
      <c r="B981">
        <v>114943</v>
      </c>
      <c r="C981" t="s">
        <v>157</v>
      </c>
      <c r="D981" t="s">
        <v>21</v>
      </c>
      <c r="E981" t="s">
        <v>158</v>
      </c>
      <c r="F981" t="str">
        <f>"00539062"</f>
        <v>00539062</v>
      </c>
      <c r="G981">
        <v>19.88</v>
      </c>
      <c r="H981">
        <v>0</v>
      </c>
      <c r="I981">
        <v>40</v>
      </c>
      <c r="J981">
        <v>28</v>
      </c>
      <c r="K981">
        <v>28</v>
      </c>
      <c r="M981">
        <v>5</v>
      </c>
      <c r="O981">
        <v>5</v>
      </c>
      <c r="P981">
        <v>4</v>
      </c>
      <c r="Q981">
        <v>0</v>
      </c>
      <c r="R981">
        <v>96.88</v>
      </c>
      <c r="S981">
        <v>0</v>
      </c>
      <c r="T981">
        <v>0</v>
      </c>
      <c r="U981">
        <v>0</v>
      </c>
      <c r="V981">
        <v>0</v>
      </c>
      <c r="X981">
        <v>96.88</v>
      </c>
    </row>
    <row r="982" spans="1:24" ht="15">
      <c r="A982">
        <v>975</v>
      </c>
      <c r="B982">
        <v>85189</v>
      </c>
      <c r="C982" t="s">
        <v>159</v>
      </c>
      <c r="D982" t="s">
        <v>160</v>
      </c>
      <c r="E982" t="s">
        <v>23</v>
      </c>
      <c r="F982" t="str">
        <f>"00603510"</f>
        <v>00603510</v>
      </c>
      <c r="G982">
        <v>19.2</v>
      </c>
      <c r="H982">
        <v>0</v>
      </c>
      <c r="I982">
        <v>40</v>
      </c>
      <c r="J982">
        <v>20</v>
      </c>
      <c r="K982">
        <v>20</v>
      </c>
      <c r="N982">
        <v>6</v>
      </c>
      <c r="O982">
        <v>6</v>
      </c>
      <c r="P982">
        <v>4</v>
      </c>
      <c r="Q982">
        <v>0</v>
      </c>
      <c r="R982">
        <v>89.2</v>
      </c>
      <c r="S982">
        <v>0</v>
      </c>
      <c r="T982">
        <v>0</v>
      </c>
      <c r="U982">
        <v>6</v>
      </c>
      <c r="V982">
        <v>0</v>
      </c>
      <c r="X982">
        <v>95.2</v>
      </c>
    </row>
    <row r="983" spans="1:24" ht="15">
      <c r="A983">
        <v>976</v>
      </c>
      <c r="B983">
        <v>94495</v>
      </c>
      <c r="C983" t="s">
        <v>161</v>
      </c>
      <c r="D983" t="s">
        <v>162</v>
      </c>
      <c r="E983" t="s">
        <v>163</v>
      </c>
      <c r="F983" t="str">
        <f>"00630737"</f>
        <v>00630737</v>
      </c>
      <c r="G983">
        <v>20</v>
      </c>
      <c r="H983">
        <v>0</v>
      </c>
      <c r="I983">
        <v>40</v>
      </c>
      <c r="J983">
        <v>20</v>
      </c>
      <c r="K983">
        <v>20</v>
      </c>
      <c r="L983">
        <v>7</v>
      </c>
      <c r="M983">
        <v>5</v>
      </c>
      <c r="O983">
        <v>12</v>
      </c>
      <c r="P983">
        <v>0</v>
      </c>
      <c r="Q983">
        <v>0</v>
      </c>
      <c r="R983">
        <v>92</v>
      </c>
      <c r="S983">
        <v>0</v>
      </c>
      <c r="T983">
        <v>0</v>
      </c>
      <c r="U983">
        <v>3</v>
      </c>
      <c r="V983">
        <v>0</v>
      </c>
      <c r="X983">
        <v>95</v>
      </c>
    </row>
    <row r="984" spans="1:24" ht="15">
      <c r="A984">
        <v>977</v>
      </c>
      <c r="B984">
        <v>107190</v>
      </c>
      <c r="C984" t="s">
        <v>164</v>
      </c>
      <c r="D984" t="s">
        <v>165</v>
      </c>
      <c r="E984" t="s">
        <v>166</v>
      </c>
      <c r="F984" t="str">
        <f>"201504005199"</f>
        <v>201504005199</v>
      </c>
      <c r="G984">
        <v>15.88</v>
      </c>
      <c r="H984">
        <v>0</v>
      </c>
      <c r="I984">
        <v>0</v>
      </c>
      <c r="J984">
        <v>28</v>
      </c>
      <c r="K984">
        <v>28</v>
      </c>
      <c r="L984">
        <v>14</v>
      </c>
      <c r="O984">
        <v>14</v>
      </c>
      <c r="P984">
        <v>4</v>
      </c>
      <c r="Q984">
        <v>0</v>
      </c>
      <c r="R984">
        <v>61.88</v>
      </c>
      <c r="S984">
        <v>0</v>
      </c>
      <c r="T984">
        <v>0</v>
      </c>
      <c r="U984">
        <v>6</v>
      </c>
      <c r="V984">
        <v>26.8</v>
      </c>
      <c r="X984">
        <v>94.68</v>
      </c>
    </row>
    <row r="985" spans="1:24" ht="15">
      <c r="A985">
        <v>978</v>
      </c>
      <c r="B985">
        <v>72917</v>
      </c>
      <c r="C985" t="s">
        <v>169</v>
      </c>
      <c r="D985" t="s">
        <v>170</v>
      </c>
      <c r="E985" t="s">
        <v>12</v>
      </c>
      <c r="F985" t="str">
        <f>"201402007818"</f>
        <v>201402007818</v>
      </c>
      <c r="G985">
        <v>18.1</v>
      </c>
      <c r="H985">
        <v>0</v>
      </c>
      <c r="I985">
        <v>40</v>
      </c>
      <c r="J985">
        <v>20</v>
      </c>
      <c r="K985">
        <v>20</v>
      </c>
      <c r="L985">
        <v>7</v>
      </c>
      <c r="M985">
        <v>5</v>
      </c>
      <c r="O985">
        <v>12</v>
      </c>
      <c r="P985">
        <v>4</v>
      </c>
      <c r="Q985">
        <v>0</v>
      </c>
      <c r="R985">
        <v>94.1</v>
      </c>
      <c r="S985">
        <v>0</v>
      </c>
      <c r="T985">
        <v>0</v>
      </c>
      <c r="U985">
        <v>0</v>
      </c>
      <c r="V985">
        <v>0</v>
      </c>
      <c r="X985">
        <v>94.1</v>
      </c>
    </row>
    <row r="986" spans="1:24" ht="15">
      <c r="A986">
        <v>979</v>
      </c>
      <c r="B986">
        <v>48622</v>
      </c>
      <c r="C986" t="s">
        <v>171</v>
      </c>
      <c r="D986" t="s">
        <v>124</v>
      </c>
      <c r="E986" t="s">
        <v>60</v>
      </c>
      <c r="F986" t="str">
        <f>"00162750"</f>
        <v>00162750</v>
      </c>
      <c r="G986">
        <v>20.08</v>
      </c>
      <c r="H986">
        <v>0</v>
      </c>
      <c r="I986">
        <v>40</v>
      </c>
      <c r="J986">
        <v>20</v>
      </c>
      <c r="K986">
        <v>20</v>
      </c>
      <c r="L986">
        <v>7</v>
      </c>
      <c r="N986">
        <v>3</v>
      </c>
      <c r="O986">
        <v>10</v>
      </c>
      <c r="P986">
        <v>4</v>
      </c>
      <c r="Q986">
        <v>0</v>
      </c>
      <c r="R986">
        <v>94.08</v>
      </c>
      <c r="S986">
        <v>0</v>
      </c>
      <c r="T986">
        <v>0</v>
      </c>
      <c r="U986">
        <v>0</v>
      </c>
      <c r="V986">
        <v>0</v>
      </c>
      <c r="X986">
        <v>94.08</v>
      </c>
    </row>
    <row r="987" spans="1:24" ht="15">
      <c r="A987">
        <v>980</v>
      </c>
      <c r="B987">
        <v>40244</v>
      </c>
      <c r="C987" t="s">
        <v>172</v>
      </c>
      <c r="D987" t="s">
        <v>173</v>
      </c>
      <c r="E987" t="s">
        <v>20</v>
      </c>
      <c r="F987" t="str">
        <f>"00466874"</f>
        <v>00466874</v>
      </c>
      <c r="G987">
        <v>17.45</v>
      </c>
      <c r="H987">
        <v>0</v>
      </c>
      <c r="I987">
        <v>0</v>
      </c>
      <c r="J987">
        <v>20</v>
      </c>
      <c r="K987">
        <v>20</v>
      </c>
      <c r="L987">
        <v>7</v>
      </c>
      <c r="O987">
        <v>7</v>
      </c>
      <c r="P987">
        <v>4</v>
      </c>
      <c r="Q987">
        <v>0</v>
      </c>
      <c r="R987">
        <v>48.45</v>
      </c>
      <c r="S987">
        <v>45</v>
      </c>
      <c r="T987">
        <v>45</v>
      </c>
      <c r="U987">
        <v>0</v>
      </c>
      <c r="V987">
        <v>0</v>
      </c>
      <c r="X987">
        <v>93.45</v>
      </c>
    </row>
    <row r="988" spans="1:24" ht="15">
      <c r="A988">
        <v>981</v>
      </c>
      <c r="B988">
        <v>83765</v>
      </c>
      <c r="C988" t="s">
        <v>174</v>
      </c>
      <c r="D988" t="s">
        <v>175</v>
      </c>
      <c r="E988" t="s">
        <v>12</v>
      </c>
      <c r="F988" t="str">
        <f>"201504004101"</f>
        <v>201504004101</v>
      </c>
      <c r="G988">
        <v>18.98</v>
      </c>
      <c r="H988">
        <v>0</v>
      </c>
      <c r="I988">
        <v>40</v>
      </c>
      <c r="J988">
        <v>20</v>
      </c>
      <c r="K988">
        <v>20</v>
      </c>
      <c r="L988">
        <v>7</v>
      </c>
      <c r="O988">
        <v>7</v>
      </c>
      <c r="P988">
        <v>4</v>
      </c>
      <c r="Q988">
        <v>0</v>
      </c>
      <c r="R988">
        <v>89.98</v>
      </c>
      <c r="S988">
        <v>0</v>
      </c>
      <c r="T988">
        <v>0</v>
      </c>
      <c r="U988">
        <v>3</v>
      </c>
      <c r="V988">
        <v>0</v>
      </c>
      <c r="X988">
        <v>92.98</v>
      </c>
    </row>
    <row r="989" spans="1:24" ht="15">
      <c r="A989">
        <v>982</v>
      </c>
      <c r="B989">
        <v>110546</v>
      </c>
      <c r="C989" t="s">
        <v>176</v>
      </c>
      <c r="D989" t="s">
        <v>27</v>
      </c>
      <c r="E989" t="s">
        <v>177</v>
      </c>
      <c r="F989" t="str">
        <f>"200801002934"</f>
        <v>200801002934</v>
      </c>
      <c r="G989">
        <v>16.85</v>
      </c>
      <c r="H989">
        <v>0</v>
      </c>
      <c r="I989">
        <v>0</v>
      </c>
      <c r="J989">
        <v>28</v>
      </c>
      <c r="K989">
        <v>28</v>
      </c>
      <c r="N989">
        <v>3</v>
      </c>
      <c r="O989">
        <v>3</v>
      </c>
      <c r="P989">
        <v>4</v>
      </c>
      <c r="Q989">
        <v>0</v>
      </c>
      <c r="R989">
        <v>51.85</v>
      </c>
      <c r="S989">
        <v>0</v>
      </c>
      <c r="T989">
        <v>0</v>
      </c>
      <c r="U989">
        <v>9</v>
      </c>
      <c r="V989">
        <v>32</v>
      </c>
      <c r="X989">
        <v>92.85</v>
      </c>
    </row>
    <row r="990" spans="1:24" ht="15">
      <c r="A990">
        <v>983</v>
      </c>
      <c r="B990">
        <v>78270</v>
      </c>
      <c r="C990" t="s">
        <v>178</v>
      </c>
      <c r="D990" t="s">
        <v>72</v>
      </c>
      <c r="E990" t="s">
        <v>21</v>
      </c>
      <c r="F990" t="str">
        <f>"00023193"</f>
        <v>00023193</v>
      </c>
      <c r="G990">
        <v>20.55</v>
      </c>
      <c r="H990">
        <v>0</v>
      </c>
      <c r="I990">
        <v>40</v>
      </c>
      <c r="J990">
        <v>20</v>
      </c>
      <c r="K990">
        <v>20</v>
      </c>
      <c r="L990">
        <v>7</v>
      </c>
      <c r="M990">
        <v>5</v>
      </c>
      <c r="O990">
        <v>12</v>
      </c>
      <c r="P990">
        <v>0</v>
      </c>
      <c r="Q990">
        <v>0</v>
      </c>
      <c r="R990">
        <v>92.55</v>
      </c>
      <c r="S990">
        <v>0</v>
      </c>
      <c r="T990">
        <v>0</v>
      </c>
      <c r="U990">
        <v>0</v>
      </c>
      <c r="V990">
        <v>0</v>
      </c>
      <c r="X990">
        <v>92.55</v>
      </c>
    </row>
    <row r="991" spans="1:24" ht="15">
      <c r="A991">
        <v>984</v>
      </c>
      <c r="B991">
        <v>101773</v>
      </c>
      <c r="C991" t="s">
        <v>179</v>
      </c>
      <c r="D991" t="s">
        <v>180</v>
      </c>
      <c r="E991" t="s">
        <v>80</v>
      </c>
      <c r="F991" t="str">
        <f>"00147200"</f>
        <v>00147200</v>
      </c>
      <c r="G991">
        <v>18.5</v>
      </c>
      <c r="H991">
        <v>0</v>
      </c>
      <c r="I991">
        <v>40</v>
      </c>
      <c r="J991">
        <v>20</v>
      </c>
      <c r="K991">
        <v>20</v>
      </c>
      <c r="L991">
        <v>7</v>
      </c>
      <c r="N991">
        <v>3</v>
      </c>
      <c r="O991">
        <v>10</v>
      </c>
      <c r="P991">
        <v>4</v>
      </c>
      <c r="Q991">
        <v>0</v>
      </c>
      <c r="R991">
        <v>92.5</v>
      </c>
      <c r="S991">
        <v>0</v>
      </c>
      <c r="T991">
        <v>0</v>
      </c>
      <c r="U991">
        <v>0</v>
      </c>
      <c r="V991">
        <v>0</v>
      </c>
      <c r="X991">
        <v>92.5</v>
      </c>
    </row>
    <row r="992" spans="1:24" ht="15">
      <c r="A992">
        <v>985</v>
      </c>
      <c r="B992">
        <v>91632</v>
      </c>
      <c r="C992" t="s">
        <v>185</v>
      </c>
      <c r="D992" t="s">
        <v>186</v>
      </c>
      <c r="E992" t="s">
        <v>13</v>
      </c>
      <c r="F992" t="str">
        <f>"00314009"</f>
        <v>00314009</v>
      </c>
      <c r="G992">
        <v>14.88</v>
      </c>
      <c r="H992">
        <v>0</v>
      </c>
      <c r="I992">
        <v>40</v>
      </c>
      <c r="J992">
        <v>20</v>
      </c>
      <c r="K992">
        <v>20</v>
      </c>
      <c r="L992">
        <v>7</v>
      </c>
      <c r="O992">
        <v>7</v>
      </c>
      <c r="P992">
        <v>4</v>
      </c>
      <c r="Q992">
        <v>0</v>
      </c>
      <c r="R992">
        <v>85.88</v>
      </c>
      <c r="S992">
        <v>0</v>
      </c>
      <c r="T992">
        <v>0</v>
      </c>
      <c r="U992">
        <v>6</v>
      </c>
      <c r="V992">
        <v>0</v>
      </c>
      <c r="X992">
        <v>91.88</v>
      </c>
    </row>
    <row r="993" spans="1:24" ht="15">
      <c r="A993">
        <v>986</v>
      </c>
      <c r="B993">
        <v>10482</v>
      </c>
      <c r="C993" t="s">
        <v>187</v>
      </c>
      <c r="D993" t="s">
        <v>188</v>
      </c>
      <c r="E993" t="s">
        <v>17</v>
      </c>
      <c r="F993" t="str">
        <f>"00444320"</f>
        <v>00444320</v>
      </c>
      <c r="G993">
        <v>18.83</v>
      </c>
      <c r="H993">
        <v>0</v>
      </c>
      <c r="I993">
        <v>0</v>
      </c>
      <c r="J993">
        <v>20</v>
      </c>
      <c r="K993">
        <v>20</v>
      </c>
      <c r="L993">
        <v>7</v>
      </c>
      <c r="O993">
        <v>7</v>
      </c>
      <c r="P993">
        <v>4</v>
      </c>
      <c r="Q993">
        <v>0</v>
      </c>
      <c r="R993">
        <v>49.83</v>
      </c>
      <c r="S993">
        <v>0</v>
      </c>
      <c r="T993">
        <v>0</v>
      </c>
      <c r="U993">
        <v>15</v>
      </c>
      <c r="V993">
        <v>26.8</v>
      </c>
      <c r="X993">
        <v>91.63</v>
      </c>
    </row>
    <row r="994" spans="1:24" ht="15">
      <c r="A994">
        <v>987</v>
      </c>
      <c r="B994">
        <v>6247</v>
      </c>
      <c r="C994" t="s">
        <v>189</v>
      </c>
      <c r="D994" t="s">
        <v>12</v>
      </c>
      <c r="E994" t="s">
        <v>120</v>
      </c>
      <c r="F994" t="str">
        <f>"00034363"</f>
        <v>00034363</v>
      </c>
      <c r="G994">
        <v>17.3</v>
      </c>
      <c r="H994">
        <v>0</v>
      </c>
      <c r="I994">
        <v>40</v>
      </c>
      <c r="J994">
        <v>20</v>
      </c>
      <c r="K994">
        <v>20</v>
      </c>
      <c r="L994">
        <v>7</v>
      </c>
      <c r="N994">
        <v>3</v>
      </c>
      <c r="O994">
        <v>10</v>
      </c>
      <c r="P994">
        <v>4</v>
      </c>
      <c r="Q994">
        <v>0</v>
      </c>
      <c r="R994">
        <v>91.3</v>
      </c>
      <c r="S994">
        <v>0</v>
      </c>
      <c r="T994">
        <v>0</v>
      </c>
      <c r="U994">
        <v>0</v>
      </c>
      <c r="V994">
        <v>0</v>
      </c>
      <c r="X994">
        <v>91.3</v>
      </c>
    </row>
    <row r="995" spans="1:24" ht="15">
      <c r="A995">
        <v>988</v>
      </c>
      <c r="B995">
        <v>4145</v>
      </c>
      <c r="C995" t="s">
        <v>195</v>
      </c>
      <c r="D995" t="s">
        <v>196</v>
      </c>
      <c r="E995" t="s">
        <v>12</v>
      </c>
      <c r="F995" t="str">
        <f>"00004966"</f>
        <v>00004966</v>
      </c>
      <c r="G995">
        <v>19.38</v>
      </c>
      <c r="H995">
        <v>0</v>
      </c>
      <c r="I995">
        <v>0</v>
      </c>
      <c r="J995">
        <v>20</v>
      </c>
      <c r="K995">
        <v>20</v>
      </c>
      <c r="N995">
        <v>3</v>
      </c>
      <c r="O995">
        <v>3</v>
      </c>
      <c r="P995">
        <v>4</v>
      </c>
      <c r="Q995">
        <v>0</v>
      </c>
      <c r="R995">
        <v>46.38</v>
      </c>
      <c r="S995">
        <v>0</v>
      </c>
      <c r="T995">
        <v>0</v>
      </c>
      <c r="U995">
        <v>9</v>
      </c>
      <c r="V995">
        <v>35.2</v>
      </c>
      <c r="X995">
        <v>90.58</v>
      </c>
    </row>
    <row r="996" spans="1:24" ht="15">
      <c r="A996">
        <v>989</v>
      </c>
      <c r="B996">
        <v>95656</v>
      </c>
      <c r="C996" t="s">
        <v>197</v>
      </c>
      <c r="D996" t="s">
        <v>41</v>
      </c>
      <c r="E996" t="s">
        <v>12</v>
      </c>
      <c r="F996" t="str">
        <f>"00294008"</f>
        <v>00294008</v>
      </c>
      <c r="G996">
        <v>18.45</v>
      </c>
      <c r="H996">
        <v>0</v>
      </c>
      <c r="I996">
        <v>40</v>
      </c>
      <c r="J996">
        <v>20</v>
      </c>
      <c r="K996">
        <v>20</v>
      </c>
      <c r="M996">
        <v>5</v>
      </c>
      <c r="N996">
        <v>3</v>
      </c>
      <c r="O996">
        <v>8</v>
      </c>
      <c r="P996">
        <v>4</v>
      </c>
      <c r="Q996">
        <v>0</v>
      </c>
      <c r="R996">
        <v>90.45</v>
      </c>
      <c r="S996">
        <v>0</v>
      </c>
      <c r="T996">
        <v>0</v>
      </c>
      <c r="U996">
        <v>0</v>
      </c>
      <c r="V996">
        <v>0</v>
      </c>
      <c r="X996">
        <v>90.45</v>
      </c>
    </row>
    <row r="997" spans="1:24" ht="15">
      <c r="A997">
        <v>990</v>
      </c>
      <c r="B997">
        <v>101851</v>
      </c>
      <c r="C997" t="s">
        <v>200</v>
      </c>
      <c r="D997" t="s">
        <v>201</v>
      </c>
      <c r="E997" t="s">
        <v>135</v>
      </c>
      <c r="F997" t="str">
        <f>"00636297"</f>
        <v>00636297</v>
      </c>
      <c r="G997">
        <v>19</v>
      </c>
      <c r="H997">
        <v>0</v>
      </c>
      <c r="I997">
        <v>40</v>
      </c>
      <c r="J997">
        <v>20</v>
      </c>
      <c r="K997">
        <v>20</v>
      </c>
      <c r="L997">
        <v>7</v>
      </c>
      <c r="O997">
        <v>7</v>
      </c>
      <c r="P997">
        <v>4</v>
      </c>
      <c r="Q997">
        <v>0</v>
      </c>
      <c r="R997">
        <v>90</v>
      </c>
      <c r="S997">
        <v>0</v>
      </c>
      <c r="T997">
        <v>0</v>
      </c>
      <c r="U997">
        <v>0</v>
      </c>
      <c r="V997">
        <v>0</v>
      </c>
      <c r="X997">
        <v>90</v>
      </c>
    </row>
    <row r="998" spans="1:24" ht="15">
      <c r="A998">
        <v>991</v>
      </c>
      <c r="B998">
        <v>105858</v>
      </c>
      <c r="C998" t="s">
        <v>205</v>
      </c>
      <c r="D998" t="s">
        <v>21</v>
      </c>
      <c r="E998" t="s">
        <v>53</v>
      </c>
      <c r="F998" t="str">
        <f>"201408000034"</f>
        <v>201408000034</v>
      </c>
      <c r="G998">
        <v>20.3</v>
      </c>
      <c r="H998">
        <v>7</v>
      </c>
      <c r="I998">
        <v>0</v>
      </c>
      <c r="J998">
        <v>20</v>
      </c>
      <c r="K998">
        <v>20</v>
      </c>
      <c r="L998">
        <v>7</v>
      </c>
      <c r="O998">
        <v>7</v>
      </c>
      <c r="P998">
        <v>4</v>
      </c>
      <c r="Q998">
        <v>0</v>
      </c>
      <c r="R998">
        <v>58.3</v>
      </c>
      <c r="S998">
        <v>0</v>
      </c>
      <c r="T998">
        <v>0</v>
      </c>
      <c r="U998">
        <v>3</v>
      </c>
      <c r="V998">
        <v>27.2</v>
      </c>
      <c r="X998">
        <v>88.5</v>
      </c>
    </row>
    <row r="999" spans="1:24" ht="15">
      <c r="A999">
        <v>992</v>
      </c>
      <c r="B999">
        <v>5310</v>
      </c>
      <c r="C999" t="s">
        <v>210</v>
      </c>
      <c r="D999" t="s">
        <v>109</v>
      </c>
      <c r="E999" t="s">
        <v>17</v>
      </c>
      <c r="F999" t="str">
        <f>"00606861"</f>
        <v>00606861</v>
      </c>
      <c r="G999">
        <v>17.75</v>
      </c>
      <c r="H999">
        <v>0</v>
      </c>
      <c r="I999">
        <v>40</v>
      </c>
      <c r="J999">
        <v>20</v>
      </c>
      <c r="K999">
        <v>20</v>
      </c>
      <c r="N999">
        <v>6</v>
      </c>
      <c r="O999">
        <v>6</v>
      </c>
      <c r="P999">
        <v>4</v>
      </c>
      <c r="Q999">
        <v>0</v>
      </c>
      <c r="R999">
        <v>87.75</v>
      </c>
      <c r="S999">
        <v>0</v>
      </c>
      <c r="T999">
        <v>0</v>
      </c>
      <c r="U999">
        <v>0</v>
      </c>
      <c r="V999">
        <v>0</v>
      </c>
      <c r="X999">
        <v>87.75</v>
      </c>
    </row>
    <row r="1000" spans="1:24" ht="15">
      <c r="A1000">
        <v>993</v>
      </c>
      <c r="B1000">
        <v>24450</v>
      </c>
      <c r="C1000" t="s">
        <v>211</v>
      </c>
      <c r="D1000" t="s">
        <v>30</v>
      </c>
      <c r="E1000" t="s">
        <v>21</v>
      </c>
      <c r="F1000" t="str">
        <f>"201401001180"</f>
        <v>201401001180</v>
      </c>
      <c r="G1000">
        <v>17.85</v>
      </c>
      <c r="H1000">
        <v>0</v>
      </c>
      <c r="I1000">
        <v>0</v>
      </c>
      <c r="J1000">
        <v>28</v>
      </c>
      <c r="K1000">
        <v>28</v>
      </c>
      <c r="L1000">
        <v>7</v>
      </c>
      <c r="N1000">
        <v>3</v>
      </c>
      <c r="O1000">
        <v>10</v>
      </c>
      <c r="P1000">
        <v>4</v>
      </c>
      <c r="Q1000">
        <v>0</v>
      </c>
      <c r="R1000">
        <v>59.85</v>
      </c>
      <c r="S1000">
        <v>0</v>
      </c>
      <c r="T1000">
        <v>0</v>
      </c>
      <c r="U1000">
        <v>0</v>
      </c>
      <c r="V1000">
        <v>26.8</v>
      </c>
      <c r="X1000">
        <v>86.65</v>
      </c>
    </row>
    <row r="1001" spans="1:24" ht="15">
      <c r="A1001">
        <v>994</v>
      </c>
      <c r="B1001">
        <v>17303</v>
      </c>
      <c r="C1001" t="s">
        <v>212</v>
      </c>
      <c r="D1001" t="s">
        <v>213</v>
      </c>
      <c r="E1001" t="s">
        <v>109</v>
      </c>
      <c r="F1001" t="str">
        <f>"200801008324"</f>
        <v>200801008324</v>
      </c>
      <c r="G1001">
        <v>19.18</v>
      </c>
      <c r="H1001">
        <v>0</v>
      </c>
      <c r="I1001">
        <v>40</v>
      </c>
      <c r="J1001">
        <v>20</v>
      </c>
      <c r="K1001">
        <v>20</v>
      </c>
      <c r="N1001">
        <v>3</v>
      </c>
      <c r="O1001">
        <v>3</v>
      </c>
      <c r="P1001">
        <v>4</v>
      </c>
      <c r="Q1001">
        <v>0</v>
      </c>
      <c r="R1001">
        <v>86.18</v>
      </c>
      <c r="S1001">
        <v>0</v>
      </c>
      <c r="T1001">
        <v>0</v>
      </c>
      <c r="U1001">
        <v>0</v>
      </c>
      <c r="V1001">
        <v>0</v>
      </c>
      <c r="X1001">
        <v>86.18</v>
      </c>
    </row>
    <row r="1002" spans="1:24" ht="15">
      <c r="A1002">
        <v>995</v>
      </c>
      <c r="B1002">
        <v>7474</v>
      </c>
      <c r="C1002" t="s">
        <v>214</v>
      </c>
      <c r="D1002" t="s">
        <v>215</v>
      </c>
      <c r="E1002" t="s">
        <v>30</v>
      </c>
      <c r="F1002" t="str">
        <f>"201406005908"</f>
        <v>201406005908</v>
      </c>
      <c r="G1002">
        <v>15.1</v>
      </c>
      <c r="H1002">
        <v>0</v>
      </c>
      <c r="I1002">
        <v>40</v>
      </c>
      <c r="J1002">
        <v>20</v>
      </c>
      <c r="K1002">
        <v>20</v>
      </c>
      <c r="L1002">
        <v>7</v>
      </c>
      <c r="O1002">
        <v>7</v>
      </c>
      <c r="P1002">
        <v>4</v>
      </c>
      <c r="Q1002">
        <v>0</v>
      </c>
      <c r="R1002">
        <v>86.1</v>
      </c>
      <c r="S1002">
        <v>0</v>
      </c>
      <c r="T1002">
        <v>0</v>
      </c>
      <c r="U1002">
        <v>0</v>
      </c>
      <c r="V1002">
        <v>0</v>
      </c>
      <c r="X1002">
        <v>86.1</v>
      </c>
    </row>
    <row r="1003" spans="1:24" ht="15">
      <c r="A1003">
        <v>996</v>
      </c>
      <c r="B1003">
        <v>41526</v>
      </c>
      <c r="C1003" t="s">
        <v>216</v>
      </c>
      <c r="D1003" t="s">
        <v>21</v>
      </c>
      <c r="E1003" t="s">
        <v>27</v>
      </c>
      <c r="F1003" t="str">
        <f>"00603331"</f>
        <v>00603331</v>
      </c>
      <c r="G1003">
        <v>18.3</v>
      </c>
      <c r="H1003">
        <v>0</v>
      </c>
      <c r="I1003">
        <v>40</v>
      </c>
      <c r="J1003">
        <v>20</v>
      </c>
      <c r="K1003">
        <v>20</v>
      </c>
      <c r="N1003">
        <v>3</v>
      </c>
      <c r="O1003">
        <v>3</v>
      </c>
      <c r="P1003">
        <v>4</v>
      </c>
      <c r="Q1003">
        <v>0</v>
      </c>
      <c r="R1003">
        <v>85.3</v>
      </c>
      <c r="S1003">
        <v>0</v>
      </c>
      <c r="T1003">
        <v>0</v>
      </c>
      <c r="U1003">
        <v>0</v>
      </c>
      <c r="V1003">
        <v>0</v>
      </c>
      <c r="X1003">
        <v>85.3</v>
      </c>
    </row>
    <row r="1004" spans="1:24" ht="15">
      <c r="A1004">
        <v>997</v>
      </c>
      <c r="B1004">
        <v>76607</v>
      </c>
      <c r="C1004" t="s">
        <v>220</v>
      </c>
      <c r="D1004" t="s">
        <v>41</v>
      </c>
      <c r="E1004" t="s">
        <v>124</v>
      </c>
      <c r="F1004" t="str">
        <f>"00002782"</f>
        <v>00002782</v>
      </c>
      <c r="G1004">
        <v>17.5</v>
      </c>
      <c r="H1004">
        <v>0</v>
      </c>
      <c r="I1004">
        <v>40</v>
      </c>
      <c r="J1004">
        <v>20</v>
      </c>
      <c r="K1004">
        <v>20</v>
      </c>
      <c r="N1004">
        <v>3</v>
      </c>
      <c r="O1004">
        <v>3</v>
      </c>
      <c r="P1004">
        <v>4</v>
      </c>
      <c r="Q1004">
        <v>0</v>
      </c>
      <c r="R1004">
        <v>84.5</v>
      </c>
      <c r="S1004">
        <v>0</v>
      </c>
      <c r="T1004">
        <v>0</v>
      </c>
      <c r="U1004">
        <v>0</v>
      </c>
      <c r="V1004">
        <v>0</v>
      </c>
      <c r="X1004">
        <v>84.5</v>
      </c>
    </row>
    <row r="1005" spans="1:24" ht="15">
      <c r="A1005">
        <v>998</v>
      </c>
      <c r="B1005">
        <v>58525</v>
      </c>
      <c r="C1005" t="s">
        <v>221</v>
      </c>
      <c r="D1005" t="s">
        <v>222</v>
      </c>
      <c r="E1005" t="s">
        <v>30</v>
      </c>
      <c r="F1005" t="str">
        <f>"00372591"</f>
        <v>00372591</v>
      </c>
      <c r="G1005">
        <v>17.3</v>
      </c>
      <c r="H1005">
        <v>0</v>
      </c>
      <c r="I1005">
        <v>40</v>
      </c>
      <c r="J1005">
        <v>20</v>
      </c>
      <c r="K1005">
        <v>20</v>
      </c>
      <c r="O1005">
        <v>0</v>
      </c>
      <c r="P1005">
        <v>4</v>
      </c>
      <c r="Q1005">
        <v>0</v>
      </c>
      <c r="R1005">
        <v>81.3</v>
      </c>
      <c r="S1005">
        <v>0</v>
      </c>
      <c r="T1005">
        <v>0</v>
      </c>
      <c r="U1005">
        <v>3</v>
      </c>
      <c r="V1005">
        <v>0</v>
      </c>
      <c r="X1005">
        <v>84.3</v>
      </c>
    </row>
    <row r="1006" spans="1:24" ht="15">
      <c r="A1006">
        <v>999</v>
      </c>
      <c r="B1006">
        <v>77848</v>
      </c>
      <c r="C1006" t="s">
        <v>223</v>
      </c>
      <c r="D1006" t="s">
        <v>224</v>
      </c>
      <c r="E1006" t="s">
        <v>225</v>
      </c>
      <c r="F1006" t="str">
        <f>"00606231"</f>
        <v>00606231</v>
      </c>
      <c r="G1006">
        <v>19.88</v>
      </c>
      <c r="H1006">
        <v>0</v>
      </c>
      <c r="I1006">
        <v>0</v>
      </c>
      <c r="J1006">
        <v>28</v>
      </c>
      <c r="K1006">
        <v>28</v>
      </c>
      <c r="L1006">
        <v>7</v>
      </c>
      <c r="M1006">
        <v>5</v>
      </c>
      <c r="O1006">
        <v>12</v>
      </c>
      <c r="P1006">
        <v>4</v>
      </c>
      <c r="Q1006">
        <v>0</v>
      </c>
      <c r="R1006">
        <v>63.88</v>
      </c>
      <c r="S1006">
        <v>0</v>
      </c>
      <c r="T1006">
        <v>0</v>
      </c>
      <c r="U1006">
        <v>0</v>
      </c>
      <c r="V1006">
        <v>20</v>
      </c>
      <c r="X1006">
        <v>83.88</v>
      </c>
    </row>
    <row r="1007" spans="1:24" ht="15">
      <c r="A1007">
        <v>1000</v>
      </c>
      <c r="B1007">
        <v>83469</v>
      </c>
      <c r="C1007" t="s">
        <v>228</v>
      </c>
      <c r="D1007" t="s">
        <v>153</v>
      </c>
      <c r="E1007" t="s">
        <v>113</v>
      </c>
      <c r="F1007" t="str">
        <f>"00365550"</f>
        <v>00365550</v>
      </c>
      <c r="G1007">
        <v>17.9</v>
      </c>
      <c r="H1007">
        <v>0</v>
      </c>
      <c r="I1007">
        <v>0</v>
      </c>
      <c r="J1007">
        <v>28</v>
      </c>
      <c r="K1007">
        <v>28</v>
      </c>
      <c r="L1007">
        <v>7</v>
      </c>
      <c r="O1007">
        <v>7</v>
      </c>
      <c r="P1007">
        <v>4</v>
      </c>
      <c r="Q1007">
        <v>0</v>
      </c>
      <c r="R1007">
        <v>56.9</v>
      </c>
      <c r="S1007">
        <v>0</v>
      </c>
      <c r="T1007">
        <v>0</v>
      </c>
      <c r="U1007">
        <v>6</v>
      </c>
      <c r="V1007">
        <v>20</v>
      </c>
      <c r="X1007">
        <v>82.9</v>
      </c>
    </row>
    <row r="1008" spans="1:24" ht="15">
      <c r="A1008">
        <v>1001</v>
      </c>
      <c r="B1008">
        <v>160</v>
      </c>
      <c r="C1008" t="s">
        <v>235</v>
      </c>
      <c r="D1008" t="s">
        <v>236</v>
      </c>
      <c r="E1008" t="s">
        <v>124</v>
      </c>
      <c r="F1008" t="str">
        <f>"00150025"</f>
        <v>00150025</v>
      </c>
      <c r="G1008">
        <v>18.53</v>
      </c>
      <c r="H1008">
        <v>0</v>
      </c>
      <c r="I1008">
        <v>0</v>
      </c>
      <c r="J1008">
        <v>20</v>
      </c>
      <c r="K1008">
        <v>20</v>
      </c>
      <c r="N1008">
        <v>6</v>
      </c>
      <c r="O1008">
        <v>6</v>
      </c>
      <c r="P1008">
        <v>4</v>
      </c>
      <c r="Q1008">
        <v>0</v>
      </c>
      <c r="R1008">
        <v>48.53</v>
      </c>
      <c r="S1008">
        <v>0</v>
      </c>
      <c r="T1008">
        <v>0</v>
      </c>
      <c r="U1008">
        <v>6</v>
      </c>
      <c r="V1008">
        <v>26.8</v>
      </c>
      <c r="X1008">
        <v>81.33</v>
      </c>
    </row>
    <row r="1009" spans="1:24" ht="15">
      <c r="A1009">
        <v>1002</v>
      </c>
      <c r="B1009">
        <v>63984</v>
      </c>
      <c r="C1009" t="s">
        <v>237</v>
      </c>
      <c r="D1009" t="s">
        <v>238</v>
      </c>
      <c r="E1009" t="s">
        <v>106</v>
      </c>
      <c r="F1009" t="str">
        <f>"00612897"</f>
        <v>00612897</v>
      </c>
      <c r="G1009">
        <v>22.5</v>
      </c>
      <c r="H1009">
        <v>0</v>
      </c>
      <c r="I1009">
        <v>0</v>
      </c>
      <c r="J1009">
        <v>28</v>
      </c>
      <c r="K1009">
        <v>28</v>
      </c>
      <c r="L1009">
        <v>14</v>
      </c>
      <c r="O1009">
        <v>14</v>
      </c>
      <c r="P1009">
        <v>4</v>
      </c>
      <c r="Q1009">
        <v>0</v>
      </c>
      <c r="R1009">
        <v>68.5</v>
      </c>
      <c r="S1009">
        <v>0</v>
      </c>
      <c r="T1009">
        <v>0</v>
      </c>
      <c r="U1009">
        <v>12</v>
      </c>
      <c r="V1009">
        <v>0</v>
      </c>
      <c r="X1009">
        <v>80.5</v>
      </c>
    </row>
    <row r="1010" spans="1:24" ht="15">
      <c r="A1010">
        <v>1003</v>
      </c>
      <c r="B1010">
        <v>94596</v>
      </c>
      <c r="C1010" t="s">
        <v>242</v>
      </c>
      <c r="D1010" t="s">
        <v>243</v>
      </c>
      <c r="E1010" t="s">
        <v>124</v>
      </c>
      <c r="F1010" t="str">
        <f>"00635981"</f>
        <v>00635981</v>
      </c>
      <c r="G1010">
        <v>20.15</v>
      </c>
      <c r="H1010">
        <v>0</v>
      </c>
      <c r="I1010">
        <v>0</v>
      </c>
      <c r="J1010">
        <v>20</v>
      </c>
      <c r="K1010">
        <v>20</v>
      </c>
      <c r="O1010">
        <v>0</v>
      </c>
      <c r="P1010">
        <v>0</v>
      </c>
      <c r="Q1010">
        <v>0</v>
      </c>
      <c r="R1010">
        <v>40.15</v>
      </c>
      <c r="S1010">
        <v>40</v>
      </c>
      <c r="T1010">
        <v>40</v>
      </c>
      <c r="U1010">
        <v>0</v>
      </c>
      <c r="V1010">
        <v>0</v>
      </c>
      <c r="X1010">
        <v>80.15</v>
      </c>
    </row>
    <row r="1011" spans="1:24" ht="15">
      <c r="A1011">
        <v>1004</v>
      </c>
      <c r="B1011">
        <v>53522</v>
      </c>
      <c r="C1011" t="s">
        <v>245</v>
      </c>
      <c r="D1011" t="s">
        <v>50</v>
      </c>
      <c r="E1011" t="s">
        <v>12</v>
      </c>
      <c r="F1011" t="str">
        <f>"00295124"</f>
        <v>00295124</v>
      </c>
      <c r="G1011">
        <v>16.9</v>
      </c>
      <c r="H1011">
        <v>0</v>
      </c>
      <c r="I1011">
        <v>0</v>
      </c>
      <c r="J1011">
        <v>20</v>
      </c>
      <c r="K1011">
        <v>20</v>
      </c>
      <c r="L1011">
        <v>7</v>
      </c>
      <c r="M1011">
        <v>5</v>
      </c>
      <c r="O1011">
        <v>12</v>
      </c>
      <c r="P1011">
        <v>4</v>
      </c>
      <c r="Q1011">
        <v>0</v>
      </c>
      <c r="R1011">
        <v>52.9</v>
      </c>
      <c r="S1011">
        <v>0</v>
      </c>
      <c r="T1011">
        <v>0</v>
      </c>
      <c r="U1011">
        <v>6</v>
      </c>
      <c r="V1011">
        <v>20</v>
      </c>
      <c r="X1011">
        <v>78.9</v>
      </c>
    </row>
    <row r="1012" spans="1:24" ht="15">
      <c r="A1012">
        <v>1005</v>
      </c>
      <c r="B1012">
        <v>9334</v>
      </c>
      <c r="C1012" t="s">
        <v>246</v>
      </c>
      <c r="D1012" t="s">
        <v>247</v>
      </c>
      <c r="E1012" t="s">
        <v>80</v>
      </c>
      <c r="F1012" t="str">
        <f>"00573033"</f>
        <v>00573033</v>
      </c>
      <c r="G1012">
        <v>19.9</v>
      </c>
      <c r="H1012">
        <v>7</v>
      </c>
      <c r="I1012">
        <v>0</v>
      </c>
      <c r="J1012">
        <v>28</v>
      </c>
      <c r="K1012">
        <v>28</v>
      </c>
      <c r="L1012">
        <v>14</v>
      </c>
      <c r="O1012">
        <v>14</v>
      </c>
      <c r="P1012">
        <v>4</v>
      </c>
      <c r="Q1012">
        <v>0</v>
      </c>
      <c r="R1012">
        <v>72.9</v>
      </c>
      <c r="S1012">
        <v>0</v>
      </c>
      <c r="T1012">
        <v>0</v>
      </c>
      <c r="U1012">
        <v>6</v>
      </c>
      <c r="V1012">
        <v>0</v>
      </c>
      <c r="X1012">
        <v>78.9</v>
      </c>
    </row>
    <row r="1013" spans="1:24" ht="15">
      <c r="A1013">
        <v>1006</v>
      </c>
      <c r="B1013">
        <v>84268</v>
      </c>
      <c r="C1013" t="s">
        <v>96</v>
      </c>
      <c r="D1013" t="s">
        <v>80</v>
      </c>
      <c r="E1013" t="s">
        <v>249</v>
      </c>
      <c r="F1013" t="str">
        <f>"00643915"</f>
        <v>00643915</v>
      </c>
      <c r="G1013">
        <v>18.43</v>
      </c>
      <c r="H1013">
        <v>0</v>
      </c>
      <c r="I1013">
        <v>40</v>
      </c>
      <c r="J1013">
        <v>20</v>
      </c>
      <c r="K1013">
        <v>20</v>
      </c>
      <c r="O1013">
        <v>0</v>
      </c>
      <c r="P1013">
        <v>0</v>
      </c>
      <c r="Q1013">
        <v>0</v>
      </c>
      <c r="R1013">
        <v>78.43</v>
      </c>
      <c r="S1013">
        <v>0</v>
      </c>
      <c r="T1013">
        <v>0</v>
      </c>
      <c r="U1013">
        <v>0</v>
      </c>
      <c r="V1013">
        <v>0</v>
      </c>
      <c r="X1013">
        <v>78.43</v>
      </c>
    </row>
    <row r="1014" spans="1:24" ht="15">
      <c r="A1014">
        <v>1007</v>
      </c>
      <c r="B1014">
        <v>65994</v>
      </c>
      <c r="C1014" t="s">
        <v>250</v>
      </c>
      <c r="D1014" t="s">
        <v>97</v>
      </c>
      <c r="E1014" t="s">
        <v>27</v>
      </c>
      <c r="F1014" t="str">
        <f>"00465671"</f>
        <v>00465671</v>
      </c>
      <c r="G1014">
        <v>20.35</v>
      </c>
      <c r="H1014">
        <v>0</v>
      </c>
      <c r="I1014">
        <v>0</v>
      </c>
      <c r="J1014">
        <v>28</v>
      </c>
      <c r="K1014">
        <v>28</v>
      </c>
      <c r="L1014">
        <v>14</v>
      </c>
      <c r="O1014">
        <v>14</v>
      </c>
      <c r="P1014">
        <v>4</v>
      </c>
      <c r="Q1014">
        <v>0</v>
      </c>
      <c r="R1014">
        <v>66.35</v>
      </c>
      <c r="S1014">
        <v>0</v>
      </c>
      <c r="T1014">
        <v>0</v>
      </c>
      <c r="U1014">
        <v>12</v>
      </c>
      <c r="V1014">
        <v>0</v>
      </c>
      <c r="X1014">
        <v>78.35</v>
      </c>
    </row>
    <row r="1015" spans="1:24" ht="15">
      <c r="A1015">
        <v>1008</v>
      </c>
      <c r="B1015">
        <v>72451</v>
      </c>
      <c r="C1015" t="s">
        <v>257</v>
      </c>
      <c r="D1015" t="s">
        <v>258</v>
      </c>
      <c r="E1015" t="s">
        <v>259</v>
      </c>
      <c r="F1015" t="str">
        <f>"00602897"</f>
        <v>00602897</v>
      </c>
      <c r="G1015">
        <v>16.3</v>
      </c>
      <c r="H1015">
        <v>0</v>
      </c>
      <c r="I1015">
        <v>0</v>
      </c>
      <c r="J1015">
        <v>20</v>
      </c>
      <c r="K1015">
        <v>20</v>
      </c>
      <c r="L1015">
        <v>7</v>
      </c>
      <c r="O1015">
        <v>7</v>
      </c>
      <c r="P1015">
        <v>4</v>
      </c>
      <c r="Q1015">
        <v>0</v>
      </c>
      <c r="R1015">
        <v>47.3</v>
      </c>
      <c r="S1015">
        <v>0</v>
      </c>
      <c r="T1015">
        <v>0</v>
      </c>
      <c r="U1015">
        <v>3</v>
      </c>
      <c r="V1015">
        <v>26.8</v>
      </c>
      <c r="X1015">
        <v>77.1</v>
      </c>
    </row>
    <row r="1016" spans="1:24" ht="15">
      <c r="A1016">
        <v>1009</v>
      </c>
      <c r="B1016">
        <v>63558</v>
      </c>
      <c r="C1016" t="s">
        <v>260</v>
      </c>
      <c r="D1016" t="s">
        <v>30</v>
      </c>
      <c r="E1016" t="s">
        <v>27</v>
      </c>
      <c r="F1016" t="str">
        <f>"00627763"</f>
        <v>00627763</v>
      </c>
      <c r="G1016">
        <v>18.93</v>
      </c>
      <c r="H1016">
        <v>0</v>
      </c>
      <c r="I1016">
        <v>0</v>
      </c>
      <c r="J1016">
        <v>20</v>
      </c>
      <c r="K1016">
        <v>20</v>
      </c>
      <c r="L1016">
        <v>7</v>
      </c>
      <c r="M1016">
        <v>5</v>
      </c>
      <c r="O1016">
        <v>12</v>
      </c>
      <c r="P1016">
        <v>4</v>
      </c>
      <c r="Q1016">
        <v>0</v>
      </c>
      <c r="R1016">
        <v>54.93</v>
      </c>
      <c r="S1016">
        <v>0</v>
      </c>
      <c r="T1016">
        <v>0</v>
      </c>
      <c r="U1016">
        <v>0</v>
      </c>
      <c r="V1016">
        <v>22</v>
      </c>
      <c r="X1016">
        <v>76.93</v>
      </c>
    </row>
    <row r="1017" spans="1:24" ht="15">
      <c r="A1017">
        <v>1010</v>
      </c>
      <c r="B1017">
        <v>78646</v>
      </c>
      <c r="C1017" t="s">
        <v>264</v>
      </c>
      <c r="D1017" t="s">
        <v>265</v>
      </c>
      <c r="E1017" t="s">
        <v>266</v>
      </c>
      <c r="F1017" t="str">
        <f>"00453699"</f>
        <v>00453699</v>
      </c>
      <c r="G1017">
        <v>20.75</v>
      </c>
      <c r="H1017">
        <v>0</v>
      </c>
      <c r="I1017">
        <v>0</v>
      </c>
      <c r="J1017">
        <v>28</v>
      </c>
      <c r="K1017">
        <v>28</v>
      </c>
      <c r="N1017">
        <v>3</v>
      </c>
      <c r="O1017">
        <v>3</v>
      </c>
      <c r="P1017">
        <v>4</v>
      </c>
      <c r="Q1017">
        <v>0</v>
      </c>
      <c r="R1017">
        <v>55.75</v>
      </c>
      <c r="S1017">
        <v>0</v>
      </c>
      <c r="T1017">
        <v>0</v>
      </c>
      <c r="U1017">
        <v>0</v>
      </c>
      <c r="V1017">
        <v>20</v>
      </c>
      <c r="X1017">
        <v>75.75</v>
      </c>
    </row>
    <row r="1018" spans="1:24" ht="15">
      <c r="A1018">
        <v>1011</v>
      </c>
      <c r="B1018">
        <v>73539</v>
      </c>
      <c r="C1018" t="s">
        <v>271</v>
      </c>
      <c r="D1018" t="s">
        <v>29</v>
      </c>
      <c r="E1018" t="s">
        <v>91</v>
      </c>
      <c r="F1018" t="str">
        <f>"00039737"</f>
        <v>00039737</v>
      </c>
      <c r="G1018">
        <v>18.95</v>
      </c>
      <c r="H1018">
        <v>0</v>
      </c>
      <c r="I1018">
        <v>0</v>
      </c>
      <c r="J1018">
        <v>20</v>
      </c>
      <c r="K1018">
        <v>20</v>
      </c>
      <c r="M1018">
        <v>5</v>
      </c>
      <c r="O1018">
        <v>5</v>
      </c>
      <c r="P1018">
        <v>4</v>
      </c>
      <c r="Q1018">
        <v>0</v>
      </c>
      <c r="R1018">
        <v>47.95</v>
      </c>
      <c r="S1018">
        <v>0</v>
      </c>
      <c r="T1018">
        <v>0</v>
      </c>
      <c r="U1018">
        <v>0</v>
      </c>
      <c r="V1018">
        <v>26.8</v>
      </c>
      <c r="X1018">
        <v>74.75</v>
      </c>
    </row>
    <row r="1019" spans="1:24" ht="15">
      <c r="A1019">
        <v>1012</v>
      </c>
      <c r="B1019">
        <v>88753</v>
      </c>
      <c r="C1019" t="s">
        <v>274</v>
      </c>
      <c r="D1019" t="s">
        <v>93</v>
      </c>
      <c r="E1019" t="s">
        <v>21</v>
      </c>
      <c r="F1019" t="str">
        <f>"200802007754"</f>
        <v>200802007754</v>
      </c>
      <c r="G1019">
        <v>20</v>
      </c>
      <c r="H1019">
        <v>0</v>
      </c>
      <c r="I1019">
        <v>0</v>
      </c>
      <c r="J1019">
        <v>28</v>
      </c>
      <c r="K1019">
        <v>28</v>
      </c>
      <c r="N1019">
        <v>3</v>
      </c>
      <c r="O1019">
        <v>3</v>
      </c>
      <c r="P1019">
        <v>4</v>
      </c>
      <c r="Q1019">
        <v>0</v>
      </c>
      <c r="R1019">
        <v>55</v>
      </c>
      <c r="S1019">
        <v>7</v>
      </c>
      <c r="T1019">
        <v>7</v>
      </c>
      <c r="U1019">
        <v>12</v>
      </c>
      <c r="V1019">
        <v>0</v>
      </c>
      <c r="X1019">
        <v>74</v>
      </c>
    </row>
    <row r="1020" spans="1:24" ht="15">
      <c r="A1020">
        <v>1013</v>
      </c>
      <c r="B1020">
        <v>95858</v>
      </c>
      <c r="C1020" t="s">
        <v>291</v>
      </c>
      <c r="D1020" t="s">
        <v>30</v>
      </c>
      <c r="E1020" t="s">
        <v>23</v>
      </c>
      <c r="F1020" t="str">
        <f>"00456824"</f>
        <v>00456824</v>
      </c>
      <c r="G1020">
        <v>18.58</v>
      </c>
      <c r="H1020">
        <v>0</v>
      </c>
      <c r="I1020">
        <v>40</v>
      </c>
      <c r="J1020">
        <v>0</v>
      </c>
      <c r="K1020">
        <v>0</v>
      </c>
      <c r="L1020">
        <v>7</v>
      </c>
      <c r="N1020">
        <v>3</v>
      </c>
      <c r="O1020">
        <v>10</v>
      </c>
      <c r="P1020">
        <v>4</v>
      </c>
      <c r="Q1020">
        <v>0</v>
      </c>
      <c r="R1020">
        <v>72.58</v>
      </c>
      <c r="S1020">
        <v>0</v>
      </c>
      <c r="T1020">
        <v>0</v>
      </c>
      <c r="U1020">
        <v>0</v>
      </c>
      <c r="V1020">
        <v>0</v>
      </c>
      <c r="X1020">
        <v>72.58</v>
      </c>
    </row>
    <row r="1021" spans="1:24" ht="15">
      <c r="A1021">
        <v>1014</v>
      </c>
      <c r="B1021">
        <v>107182</v>
      </c>
      <c r="C1021" t="s">
        <v>292</v>
      </c>
      <c r="D1021" t="s">
        <v>50</v>
      </c>
      <c r="E1021" t="s">
        <v>27</v>
      </c>
      <c r="F1021" t="str">
        <f>"00649601"</f>
        <v>00649601</v>
      </c>
      <c r="G1021">
        <v>20.5</v>
      </c>
      <c r="H1021">
        <v>0</v>
      </c>
      <c r="I1021">
        <v>0</v>
      </c>
      <c r="J1021">
        <v>28</v>
      </c>
      <c r="K1021">
        <v>28</v>
      </c>
      <c r="L1021">
        <v>14</v>
      </c>
      <c r="O1021">
        <v>14</v>
      </c>
      <c r="P1021">
        <v>4</v>
      </c>
      <c r="Q1021">
        <v>0</v>
      </c>
      <c r="R1021">
        <v>66.5</v>
      </c>
      <c r="S1021">
        <v>0</v>
      </c>
      <c r="T1021">
        <v>0</v>
      </c>
      <c r="U1021">
        <v>6</v>
      </c>
      <c r="V1021">
        <v>0</v>
      </c>
      <c r="X1021">
        <v>72.5</v>
      </c>
    </row>
    <row r="1022" spans="1:24" ht="15">
      <c r="A1022">
        <v>1015</v>
      </c>
      <c r="B1022">
        <v>49781</v>
      </c>
      <c r="C1022" t="s">
        <v>306</v>
      </c>
      <c r="D1022" t="s">
        <v>236</v>
      </c>
      <c r="E1022" t="s">
        <v>21</v>
      </c>
      <c r="F1022" t="str">
        <f>"00170230"</f>
        <v>00170230</v>
      </c>
      <c r="G1022">
        <v>16.98</v>
      </c>
      <c r="H1022">
        <v>0</v>
      </c>
      <c r="I1022">
        <v>0</v>
      </c>
      <c r="J1022">
        <v>0</v>
      </c>
      <c r="K1022">
        <v>0</v>
      </c>
      <c r="L1022">
        <v>7</v>
      </c>
      <c r="N1022">
        <v>3</v>
      </c>
      <c r="O1022">
        <v>10</v>
      </c>
      <c r="P1022">
        <v>4</v>
      </c>
      <c r="Q1022">
        <v>0</v>
      </c>
      <c r="R1022">
        <v>30.98</v>
      </c>
      <c r="S1022">
        <v>0</v>
      </c>
      <c r="T1022">
        <v>0</v>
      </c>
      <c r="U1022">
        <v>3</v>
      </c>
      <c r="V1022">
        <v>37.2</v>
      </c>
      <c r="X1022">
        <v>71.18</v>
      </c>
    </row>
    <row r="1023" spans="1:24" ht="15">
      <c r="A1023">
        <v>1016</v>
      </c>
      <c r="B1023">
        <v>11682</v>
      </c>
      <c r="C1023" t="s">
        <v>307</v>
      </c>
      <c r="D1023" t="s">
        <v>46</v>
      </c>
      <c r="E1023" t="s">
        <v>308</v>
      </c>
      <c r="F1023" t="str">
        <f>"200810000503"</f>
        <v>200810000503</v>
      </c>
      <c r="G1023">
        <v>20.75</v>
      </c>
      <c r="H1023">
        <v>0</v>
      </c>
      <c r="I1023">
        <v>0</v>
      </c>
      <c r="J1023">
        <v>28</v>
      </c>
      <c r="K1023">
        <v>28</v>
      </c>
      <c r="L1023">
        <v>7</v>
      </c>
      <c r="M1023">
        <v>5</v>
      </c>
      <c r="O1023">
        <v>12</v>
      </c>
      <c r="P1023">
        <v>4</v>
      </c>
      <c r="Q1023">
        <v>0</v>
      </c>
      <c r="R1023">
        <v>64.75</v>
      </c>
      <c r="S1023">
        <v>0</v>
      </c>
      <c r="T1023">
        <v>0</v>
      </c>
      <c r="U1023">
        <v>6</v>
      </c>
      <c r="V1023">
        <v>0</v>
      </c>
      <c r="X1023">
        <v>70.75</v>
      </c>
    </row>
    <row r="1024" spans="1:24" ht="15">
      <c r="A1024">
        <v>1017</v>
      </c>
      <c r="B1024">
        <v>11993</v>
      </c>
      <c r="C1024" t="s">
        <v>309</v>
      </c>
      <c r="D1024" t="s">
        <v>29</v>
      </c>
      <c r="E1024" t="s">
        <v>27</v>
      </c>
      <c r="F1024" t="str">
        <f>"00073337"</f>
        <v>00073337</v>
      </c>
      <c r="G1024">
        <v>17.63</v>
      </c>
      <c r="H1024">
        <v>7</v>
      </c>
      <c r="I1024">
        <v>0</v>
      </c>
      <c r="J1024">
        <v>28</v>
      </c>
      <c r="K1024">
        <v>28</v>
      </c>
      <c r="L1024">
        <v>14</v>
      </c>
      <c r="O1024">
        <v>14</v>
      </c>
      <c r="P1024">
        <v>4</v>
      </c>
      <c r="Q1024">
        <v>0</v>
      </c>
      <c r="R1024">
        <v>70.63</v>
      </c>
      <c r="S1024">
        <v>0</v>
      </c>
      <c r="T1024">
        <v>0</v>
      </c>
      <c r="U1024">
        <v>0</v>
      </c>
      <c r="V1024">
        <v>0</v>
      </c>
      <c r="X1024">
        <v>70.63</v>
      </c>
    </row>
    <row r="1025" spans="1:24" ht="15">
      <c r="A1025">
        <v>1018</v>
      </c>
      <c r="B1025">
        <v>16973</v>
      </c>
      <c r="C1025" t="s">
        <v>311</v>
      </c>
      <c r="D1025" t="s">
        <v>312</v>
      </c>
      <c r="E1025" t="s">
        <v>155</v>
      </c>
      <c r="F1025" t="str">
        <f>"00008774"</f>
        <v>00008774</v>
      </c>
      <c r="G1025">
        <v>21.53</v>
      </c>
      <c r="H1025">
        <v>7</v>
      </c>
      <c r="I1025">
        <v>0</v>
      </c>
      <c r="J1025">
        <v>28</v>
      </c>
      <c r="K1025">
        <v>28</v>
      </c>
      <c r="M1025">
        <v>5</v>
      </c>
      <c r="N1025">
        <v>3</v>
      </c>
      <c r="O1025">
        <v>8</v>
      </c>
      <c r="P1025">
        <v>4</v>
      </c>
      <c r="Q1025">
        <v>0</v>
      </c>
      <c r="R1025">
        <v>68.53</v>
      </c>
      <c r="S1025">
        <v>2</v>
      </c>
      <c r="T1025">
        <v>2</v>
      </c>
      <c r="U1025">
        <v>0</v>
      </c>
      <c r="V1025">
        <v>0</v>
      </c>
      <c r="X1025">
        <v>70.53</v>
      </c>
    </row>
    <row r="1026" spans="1:24" ht="15">
      <c r="A1026">
        <v>1019</v>
      </c>
      <c r="B1026">
        <v>72825</v>
      </c>
      <c r="C1026" t="s">
        <v>313</v>
      </c>
      <c r="D1026" t="s">
        <v>21</v>
      </c>
      <c r="E1026" t="s">
        <v>30</v>
      </c>
      <c r="F1026" t="str">
        <f>"00596428"</f>
        <v>00596428</v>
      </c>
      <c r="G1026">
        <v>17.5</v>
      </c>
      <c r="H1026">
        <v>0</v>
      </c>
      <c r="I1026">
        <v>0</v>
      </c>
      <c r="J1026">
        <v>0</v>
      </c>
      <c r="K1026">
        <v>0</v>
      </c>
      <c r="M1026">
        <v>5</v>
      </c>
      <c r="O1026">
        <v>5</v>
      </c>
      <c r="P1026">
        <v>4</v>
      </c>
      <c r="Q1026">
        <v>0</v>
      </c>
      <c r="R1026">
        <v>26.5</v>
      </c>
      <c r="S1026">
        <v>0</v>
      </c>
      <c r="T1026">
        <v>0</v>
      </c>
      <c r="U1026">
        <v>12</v>
      </c>
      <c r="V1026">
        <v>32</v>
      </c>
      <c r="X1026">
        <v>70.5</v>
      </c>
    </row>
    <row r="1027" spans="1:24" ht="15">
      <c r="A1027">
        <v>1020</v>
      </c>
      <c r="B1027">
        <v>104332</v>
      </c>
      <c r="C1027" t="s">
        <v>320</v>
      </c>
      <c r="D1027" t="s">
        <v>88</v>
      </c>
      <c r="E1027" t="s">
        <v>80</v>
      </c>
      <c r="F1027" t="str">
        <f>"201504004917"</f>
        <v>201504004917</v>
      </c>
      <c r="G1027">
        <v>20.08</v>
      </c>
      <c r="H1027">
        <v>0</v>
      </c>
      <c r="I1027">
        <v>0</v>
      </c>
      <c r="J1027">
        <v>28</v>
      </c>
      <c r="K1027">
        <v>28</v>
      </c>
      <c r="L1027">
        <v>7</v>
      </c>
      <c r="N1027">
        <v>3</v>
      </c>
      <c r="O1027">
        <v>10</v>
      </c>
      <c r="P1027">
        <v>4</v>
      </c>
      <c r="Q1027">
        <v>2</v>
      </c>
      <c r="R1027">
        <v>64.08</v>
      </c>
      <c r="S1027">
        <v>0</v>
      </c>
      <c r="T1027">
        <v>0</v>
      </c>
      <c r="U1027">
        <v>6</v>
      </c>
      <c r="V1027">
        <v>0</v>
      </c>
      <c r="X1027">
        <v>70.08</v>
      </c>
    </row>
    <row r="1028" spans="1:24" ht="15">
      <c r="A1028">
        <v>1021</v>
      </c>
      <c r="B1028">
        <v>110354</v>
      </c>
      <c r="C1028" t="s">
        <v>321</v>
      </c>
      <c r="D1028" t="s">
        <v>76</v>
      </c>
      <c r="E1028" t="s">
        <v>322</v>
      </c>
      <c r="F1028" t="str">
        <f>"00602163"</f>
        <v>00602163</v>
      </c>
      <c r="G1028">
        <v>22.05</v>
      </c>
      <c r="H1028">
        <v>0</v>
      </c>
      <c r="I1028">
        <v>0</v>
      </c>
      <c r="J1028">
        <v>20</v>
      </c>
      <c r="K1028">
        <v>20</v>
      </c>
      <c r="N1028">
        <v>3</v>
      </c>
      <c r="O1028">
        <v>3</v>
      </c>
      <c r="P1028">
        <v>4</v>
      </c>
      <c r="Q1028">
        <v>0</v>
      </c>
      <c r="R1028">
        <v>49.05</v>
      </c>
      <c r="S1028">
        <v>0</v>
      </c>
      <c r="T1028">
        <v>0</v>
      </c>
      <c r="U1028">
        <v>21</v>
      </c>
      <c r="V1028">
        <v>0</v>
      </c>
      <c r="X1028">
        <v>70.05</v>
      </c>
    </row>
    <row r="1029" spans="1:24" ht="15">
      <c r="A1029">
        <v>1022</v>
      </c>
      <c r="B1029">
        <v>75043</v>
      </c>
      <c r="C1029" t="s">
        <v>326</v>
      </c>
      <c r="D1029" t="s">
        <v>75</v>
      </c>
      <c r="E1029" t="s">
        <v>327</v>
      </c>
      <c r="F1029" t="str">
        <f>"00641628"</f>
        <v>00641628</v>
      </c>
      <c r="G1029">
        <v>16.83</v>
      </c>
      <c r="H1029">
        <v>0</v>
      </c>
      <c r="I1029">
        <v>0</v>
      </c>
      <c r="J1029">
        <v>28</v>
      </c>
      <c r="K1029">
        <v>28</v>
      </c>
      <c r="L1029">
        <v>7</v>
      </c>
      <c r="M1029">
        <v>5</v>
      </c>
      <c r="O1029">
        <v>12</v>
      </c>
      <c r="P1029">
        <v>4</v>
      </c>
      <c r="Q1029">
        <v>0</v>
      </c>
      <c r="R1029">
        <v>60.83</v>
      </c>
      <c r="S1029">
        <v>0</v>
      </c>
      <c r="T1029">
        <v>0</v>
      </c>
      <c r="U1029">
        <v>9</v>
      </c>
      <c r="V1029">
        <v>0</v>
      </c>
      <c r="X1029">
        <v>69.83</v>
      </c>
    </row>
    <row r="1030" spans="1:24" ht="15">
      <c r="A1030">
        <v>1023</v>
      </c>
      <c r="B1030">
        <v>97932</v>
      </c>
      <c r="C1030" t="s">
        <v>340</v>
      </c>
      <c r="D1030" t="s">
        <v>16</v>
      </c>
      <c r="E1030" t="s">
        <v>341</v>
      </c>
      <c r="F1030" t="str">
        <f>"00296603"</f>
        <v>00296603</v>
      </c>
      <c r="G1030">
        <v>20.7</v>
      </c>
      <c r="H1030">
        <v>0</v>
      </c>
      <c r="I1030">
        <v>0</v>
      </c>
      <c r="J1030">
        <v>28</v>
      </c>
      <c r="K1030">
        <v>28</v>
      </c>
      <c r="L1030">
        <v>7</v>
      </c>
      <c r="N1030">
        <v>3</v>
      </c>
      <c r="O1030">
        <v>10</v>
      </c>
      <c r="P1030">
        <v>4</v>
      </c>
      <c r="Q1030">
        <v>0</v>
      </c>
      <c r="R1030">
        <v>62.7</v>
      </c>
      <c r="S1030">
        <v>0</v>
      </c>
      <c r="T1030">
        <v>0</v>
      </c>
      <c r="U1030">
        <v>6</v>
      </c>
      <c r="V1030">
        <v>0</v>
      </c>
      <c r="X1030">
        <v>68.7</v>
      </c>
    </row>
    <row r="1031" spans="1:24" ht="15">
      <c r="A1031">
        <v>1024</v>
      </c>
      <c r="B1031">
        <v>81449</v>
      </c>
      <c r="C1031" t="s">
        <v>342</v>
      </c>
      <c r="D1031" t="s">
        <v>16</v>
      </c>
      <c r="E1031" t="s">
        <v>12</v>
      </c>
      <c r="F1031" t="str">
        <f>"00018346"</f>
        <v>00018346</v>
      </c>
      <c r="G1031">
        <v>18.63</v>
      </c>
      <c r="H1031">
        <v>0</v>
      </c>
      <c r="I1031">
        <v>0</v>
      </c>
      <c r="J1031">
        <v>28</v>
      </c>
      <c r="K1031">
        <v>28</v>
      </c>
      <c r="L1031">
        <v>7</v>
      </c>
      <c r="M1031">
        <v>5</v>
      </c>
      <c r="O1031">
        <v>12</v>
      </c>
      <c r="P1031">
        <v>4</v>
      </c>
      <c r="Q1031">
        <v>0</v>
      </c>
      <c r="R1031">
        <v>62.63</v>
      </c>
      <c r="S1031">
        <v>0</v>
      </c>
      <c r="T1031">
        <v>0</v>
      </c>
      <c r="U1031">
        <v>6</v>
      </c>
      <c r="V1031">
        <v>0</v>
      </c>
      <c r="X1031">
        <v>68.63</v>
      </c>
    </row>
    <row r="1032" spans="1:24" ht="15">
      <c r="A1032">
        <v>1025</v>
      </c>
      <c r="B1032">
        <v>76384</v>
      </c>
      <c r="C1032" t="s">
        <v>344</v>
      </c>
      <c r="D1032" t="s">
        <v>218</v>
      </c>
      <c r="E1032" t="s">
        <v>345</v>
      </c>
      <c r="F1032" t="str">
        <f>"00621773"</f>
        <v>00621773</v>
      </c>
      <c r="G1032">
        <v>19.48</v>
      </c>
      <c r="H1032">
        <v>0</v>
      </c>
      <c r="I1032">
        <v>0</v>
      </c>
      <c r="J1032">
        <v>20</v>
      </c>
      <c r="K1032">
        <v>20</v>
      </c>
      <c r="O1032">
        <v>0</v>
      </c>
      <c r="P1032">
        <v>4</v>
      </c>
      <c r="Q1032">
        <v>0</v>
      </c>
      <c r="R1032">
        <v>43.48</v>
      </c>
      <c r="S1032">
        <v>0</v>
      </c>
      <c r="T1032">
        <v>0</v>
      </c>
      <c r="U1032">
        <v>3</v>
      </c>
      <c r="V1032">
        <v>22</v>
      </c>
      <c r="X1032">
        <v>68.48</v>
      </c>
    </row>
    <row r="1033" spans="1:24" ht="15">
      <c r="A1033">
        <v>1026</v>
      </c>
      <c r="B1033">
        <v>50036</v>
      </c>
      <c r="C1033" t="s">
        <v>352</v>
      </c>
      <c r="D1033" t="s">
        <v>16</v>
      </c>
      <c r="E1033" t="s">
        <v>353</v>
      </c>
      <c r="F1033" t="str">
        <f>"200801003408"</f>
        <v>200801003408</v>
      </c>
      <c r="G1033">
        <v>18.15</v>
      </c>
      <c r="H1033">
        <v>0</v>
      </c>
      <c r="I1033">
        <v>0</v>
      </c>
      <c r="J1033">
        <v>28</v>
      </c>
      <c r="K1033">
        <v>28</v>
      </c>
      <c r="L1033">
        <v>7</v>
      </c>
      <c r="M1033">
        <v>5</v>
      </c>
      <c r="O1033">
        <v>12</v>
      </c>
      <c r="P1033">
        <v>4</v>
      </c>
      <c r="Q1033">
        <v>0</v>
      </c>
      <c r="R1033">
        <v>62.15</v>
      </c>
      <c r="S1033">
        <v>0</v>
      </c>
      <c r="T1033">
        <v>0</v>
      </c>
      <c r="U1033">
        <v>6</v>
      </c>
      <c r="V1033">
        <v>0</v>
      </c>
      <c r="X1033">
        <v>68.15</v>
      </c>
    </row>
    <row r="1034" spans="1:24" ht="15">
      <c r="A1034">
        <v>1027</v>
      </c>
      <c r="B1034">
        <v>17962</v>
      </c>
      <c r="C1034" t="s">
        <v>358</v>
      </c>
      <c r="D1034" t="s">
        <v>359</v>
      </c>
      <c r="E1034" t="s">
        <v>360</v>
      </c>
      <c r="F1034" t="str">
        <f>"200712005297"</f>
        <v>200712005297</v>
      </c>
      <c r="G1034">
        <v>22.9</v>
      </c>
      <c r="H1034">
        <v>0</v>
      </c>
      <c r="I1034">
        <v>0</v>
      </c>
      <c r="J1034">
        <v>28</v>
      </c>
      <c r="K1034">
        <v>28</v>
      </c>
      <c r="L1034">
        <v>7</v>
      </c>
      <c r="O1034">
        <v>7</v>
      </c>
      <c r="P1034">
        <v>4</v>
      </c>
      <c r="Q1034">
        <v>0</v>
      </c>
      <c r="R1034">
        <v>61.9</v>
      </c>
      <c r="S1034">
        <v>0</v>
      </c>
      <c r="T1034">
        <v>0</v>
      </c>
      <c r="U1034">
        <v>6</v>
      </c>
      <c r="V1034">
        <v>0</v>
      </c>
      <c r="X1034">
        <v>67.9</v>
      </c>
    </row>
    <row r="1035" spans="1:24" ht="15">
      <c r="A1035">
        <v>1028</v>
      </c>
      <c r="B1035">
        <v>88511</v>
      </c>
      <c r="C1035" t="s">
        <v>364</v>
      </c>
      <c r="D1035" t="s">
        <v>41</v>
      </c>
      <c r="E1035" t="s">
        <v>24</v>
      </c>
      <c r="F1035" t="str">
        <f>"00630685"</f>
        <v>00630685</v>
      </c>
      <c r="G1035">
        <v>21.68</v>
      </c>
      <c r="H1035">
        <v>0</v>
      </c>
      <c r="I1035">
        <v>0</v>
      </c>
      <c r="J1035">
        <v>28</v>
      </c>
      <c r="K1035">
        <v>28</v>
      </c>
      <c r="L1035">
        <v>14</v>
      </c>
      <c r="O1035">
        <v>14</v>
      </c>
      <c r="P1035">
        <v>4</v>
      </c>
      <c r="Q1035">
        <v>0</v>
      </c>
      <c r="R1035">
        <v>67.68</v>
      </c>
      <c r="S1035">
        <v>0</v>
      </c>
      <c r="T1035">
        <v>0</v>
      </c>
      <c r="U1035">
        <v>0</v>
      </c>
      <c r="V1035">
        <v>0</v>
      </c>
      <c r="X1035">
        <v>67.68</v>
      </c>
    </row>
    <row r="1036" spans="1:24" ht="15">
      <c r="A1036">
        <v>1029</v>
      </c>
      <c r="B1036">
        <v>22197</v>
      </c>
      <c r="C1036" t="s">
        <v>371</v>
      </c>
      <c r="D1036" t="s">
        <v>372</v>
      </c>
      <c r="E1036" t="s">
        <v>373</v>
      </c>
      <c r="F1036" t="str">
        <f>"200807000111"</f>
        <v>200807000111</v>
      </c>
      <c r="G1036">
        <v>17.43</v>
      </c>
      <c r="H1036">
        <v>0</v>
      </c>
      <c r="I1036">
        <v>0</v>
      </c>
      <c r="J1036">
        <v>20</v>
      </c>
      <c r="K1036">
        <v>20</v>
      </c>
      <c r="L1036">
        <v>14</v>
      </c>
      <c r="O1036">
        <v>14</v>
      </c>
      <c r="P1036">
        <v>4</v>
      </c>
      <c r="Q1036">
        <v>0</v>
      </c>
      <c r="R1036">
        <v>55.43</v>
      </c>
      <c r="S1036">
        <v>0</v>
      </c>
      <c r="T1036">
        <v>0</v>
      </c>
      <c r="U1036">
        <v>12</v>
      </c>
      <c r="V1036">
        <v>0</v>
      </c>
      <c r="X1036">
        <v>67.43</v>
      </c>
    </row>
    <row r="1037" spans="1:24" ht="15">
      <c r="A1037">
        <v>1030</v>
      </c>
      <c r="B1037">
        <v>100152</v>
      </c>
      <c r="C1037" t="s">
        <v>374</v>
      </c>
      <c r="D1037" t="s">
        <v>12</v>
      </c>
      <c r="E1037" t="s">
        <v>375</v>
      </c>
      <c r="F1037" t="str">
        <f>"00635190"</f>
        <v>00635190</v>
      </c>
      <c r="G1037">
        <v>21.43</v>
      </c>
      <c r="H1037">
        <v>7</v>
      </c>
      <c r="I1037">
        <v>0</v>
      </c>
      <c r="J1037">
        <v>28</v>
      </c>
      <c r="K1037">
        <v>28</v>
      </c>
      <c r="L1037">
        <v>7</v>
      </c>
      <c r="O1037">
        <v>7</v>
      </c>
      <c r="P1037">
        <v>4</v>
      </c>
      <c r="Q1037">
        <v>0</v>
      </c>
      <c r="R1037">
        <v>67.43</v>
      </c>
      <c r="S1037">
        <v>0</v>
      </c>
      <c r="T1037">
        <v>0</v>
      </c>
      <c r="U1037">
        <v>0</v>
      </c>
      <c r="V1037">
        <v>0</v>
      </c>
      <c r="X1037">
        <v>67.43</v>
      </c>
    </row>
    <row r="1038" spans="1:24" ht="15">
      <c r="A1038">
        <v>1031</v>
      </c>
      <c r="B1038">
        <v>63018</v>
      </c>
      <c r="C1038" t="s">
        <v>378</v>
      </c>
      <c r="D1038" t="s">
        <v>29</v>
      </c>
      <c r="E1038" t="s">
        <v>17</v>
      </c>
      <c r="F1038" t="str">
        <f>"00561729"</f>
        <v>00561729</v>
      </c>
      <c r="G1038">
        <v>18.38</v>
      </c>
      <c r="H1038">
        <v>0</v>
      </c>
      <c r="I1038">
        <v>0</v>
      </c>
      <c r="J1038">
        <v>0</v>
      </c>
      <c r="K1038">
        <v>0</v>
      </c>
      <c r="N1038">
        <v>3</v>
      </c>
      <c r="O1038">
        <v>3</v>
      </c>
      <c r="P1038">
        <v>4</v>
      </c>
      <c r="Q1038">
        <v>0</v>
      </c>
      <c r="R1038">
        <v>25.38</v>
      </c>
      <c r="S1038">
        <v>0</v>
      </c>
      <c r="T1038">
        <v>0</v>
      </c>
      <c r="U1038">
        <v>6</v>
      </c>
      <c r="V1038">
        <v>36</v>
      </c>
      <c r="X1038">
        <v>67.38</v>
      </c>
    </row>
    <row r="1039" spans="1:24" ht="15">
      <c r="A1039">
        <v>1032</v>
      </c>
      <c r="B1039">
        <v>8781</v>
      </c>
      <c r="C1039" t="s">
        <v>385</v>
      </c>
      <c r="D1039" t="s">
        <v>316</v>
      </c>
      <c r="E1039" t="s">
        <v>12</v>
      </c>
      <c r="F1039" t="str">
        <f>"201411001704"</f>
        <v>201411001704</v>
      </c>
      <c r="G1039">
        <v>20.1</v>
      </c>
      <c r="H1039">
        <v>0</v>
      </c>
      <c r="I1039">
        <v>0</v>
      </c>
      <c r="J1039">
        <v>28</v>
      </c>
      <c r="K1039">
        <v>28</v>
      </c>
      <c r="L1039">
        <v>7</v>
      </c>
      <c r="M1039">
        <v>5</v>
      </c>
      <c r="O1039">
        <v>12</v>
      </c>
      <c r="P1039">
        <v>4</v>
      </c>
      <c r="Q1039">
        <v>0</v>
      </c>
      <c r="R1039">
        <v>64.1</v>
      </c>
      <c r="S1039">
        <v>0</v>
      </c>
      <c r="T1039">
        <v>0</v>
      </c>
      <c r="U1039">
        <v>3</v>
      </c>
      <c r="V1039">
        <v>0</v>
      </c>
      <c r="X1039">
        <v>67.1</v>
      </c>
    </row>
    <row r="1040" spans="1:24" ht="15">
      <c r="A1040">
        <v>1033</v>
      </c>
      <c r="B1040">
        <v>88540</v>
      </c>
      <c r="C1040" t="s">
        <v>392</v>
      </c>
      <c r="D1040" t="s">
        <v>186</v>
      </c>
      <c r="E1040" t="s">
        <v>20</v>
      </c>
      <c r="F1040" t="str">
        <f>"00630875"</f>
        <v>00630875</v>
      </c>
      <c r="G1040">
        <v>22.83</v>
      </c>
      <c r="H1040">
        <v>7</v>
      </c>
      <c r="I1040">
        <v>0</v>
      </c>
      <c r="J1040">
        <v>20</v>
      </c>
      <c r="K1040">
        <v>20</v>
      </c>
      <c r="L1040">
        <v>7</v>
      </c>
      <c r="N1040">
        <v>3</v>
      </c>
      <c r="O1040">
        <v>10</v>
      </c>
      <c r="P1040">
        <v>4</v>
      </c>
      <c r="Q1040">
        <v>0</v>
      </c>
      <c r="R1040">
        <v>63.83</v>
      </c>
      <c r="S1040">
        <v>0</v>
      </c>
      <c r="T1040">
        <v>0</v>
      </c>
      <c r="U1040">
        <v>3</v>
      </c>
      <c r="V1040">
        <v>0</v>
      </c>
      <c r="X1040">
        <v>66.83</v>
      </c>
    </row>
    <row r="1041" spans="1:24" ht="15">
      <c r="A1041">
        <v>1034</v>
      </c>
      <c r="B1041">
        <v>109191</v>
      </c>
      <c r="C1041" t="s">
        <v>393</v>
      </c>
      <c r="D1041" t="s">
        <v>75</v>
      </c>
      <c r="E1041" t="s">
        <v>53</v>
      </c>
      <c r="F1041" t="str">
        <f>"201504003015"</f>
        <v>201504003015</v>
      </c>
      <c r="G1041">
        <v>19.7</v>
      </c>
      <c r="H1041">
        <v>0</v>
      </c>
      <c r="I1041">
        <v>0</v>
      </c>
      <c r="J1041">
        <v>28</v>
      </c>
      <c r="K1041">
        <v>28</v>
      </c>
      <c r="L1041">
        <v>7</v>
      </c>
      <c r="M1041">
        <v>5</v>
      </c>
      <c r="O1041">
        <v>12</v>
      </c>
      <c r="P1041">
        <v>4</v>
      </c>
      <c r="Q1041">
        <v>0</v>
      </c>
      <c r="R1041">
        <v>63.7</v>
      </c>
      <c r="S1041">
        <v>0</v>
      </c>
      <c r="T1041">
        <v>0</v>
      </c>
      <c r="U1041">
        <v>3</v>
      </c>
      <c r="V1041">
        <v>0</v>
      </c>
      <c r="X1041">
        <v>66.7</v>
      </c>
    </row>
    <row r="1042" spans="1:24" ht="15">
      <c r="A1042">
        <v>1035</v>
      </c>
      <c r="B1042">
        <v>4522</v>
      </c>
      <c r="C1042" t="s">
        <v>394</v>
      </c>
      <c r="D1042" t="s">
        <v>97</v>
      </c>
      <c r="E1042" t="s">
        <v>12</v>
      </c>
      <c r="F1042" t="str">
        <f>"00546027"</f>
        <v>00546027</v>
      </c>
      <c r="G1042">
        <v>18.6</v>
      </c>
      <c r="H1042">
        <v>0</v>
      </c>
      <c r="I1042">
        <v>0</v>
      </c>
      <c r="J1042">
        <v>28</v>
      </c>
      <c r="K1042">
        <v>28</v>
      </c>
      <c r="L1042">
        <v>7</v>
      </c>
      <c r="N1042">
        <v>3</v>
      </c>
      <c r="O1042">
        <v>10</v>
      </c>
      <c r="P1042">
        <v>4</v>
      </c>
      <c r="Q1042">
        <v>0</v>
      </c>
      <c r="R1042">
        <v>60.6</v>
      </c>
      <c r="S1042">
        <v>0</v>
      </c>
      <c r="T1042">
        <v>0</v>
      </c>
      <c r="U1042">
        <v>6</v>
      </c>
      <c r="V1042">
        <v>0</v>
      </c>
      <c r="X1042">
        <v>66.6</v>
      </c>
    </row>
    <row r="1043" spans="1:24" ht="15">
      <c r="A1043">
        <v>1036</v>
      </c>
      <c r="B1043">
        <v>79757</v>
      </c>
      <c r="C1043" t="s">
        <v>395</v>
      </c>
      <c r="D1043" t="s">
        <v>396</v>
      </c>
      <c r="E1043" t="s">
        <v>397</v>
      </c>
      <c r="F1043" t="str">
        <f>"00638544"</f>
        <v>00638544</v>
      </c>
      <c r="G1043">
        <v>18.6</v>
      </c>
      <c r="H1043">
        <v>0</v>
      </c>
      <c r="I1043">
        <v>0</v>
      </c>
      <c r="J1043">
        <v>28</v>
      </c>
      <c r="K1043">
        <v>28</v>
      </c>
      <c r="L1043">
        <v>7</v>
      </c>
      <c r="N1043">
        <v>3</v>
      </c>
      <c r="O1043">
        <v>10</v>
      </c>
      <c r="P1043">
        <v>4</v>
      </c>
      <c r="Q1043">
        <v>0</v>
      </c>
      <c r="R1043">
        <v>60.6</v>
      </c>
      <c r="S1043">
        <v>0</v>
      </c>
      <c r="T1043">
        <v>0</v>
      </c>
      <c r="U1043">
        <v>6</v>
      </c>
      <c r="V1043">
        <v>0</v>
      </c>
      <c r="X1043">
        <v>66.6</v>
      </c>
    </row>
    <row r="1044" spans="1:24" ht="15">
      <c r="A1044">
        <v>1037</v>
      </c>
      <c r="B1044">
        <v>114204</v>
      </c>
      <c r="C1044" t="s">
        <v>398</v>
      </c>
      <c r="D1044" t="s">
        <v>75</v>
      </c>
      <c r="E1044" t="s">
        <v>23</v>
      </c>
      <c r="F1044" t="str">
        <f>"00597291"</f>
        <v>00597291</v>
      </c>
      <c r="G1044">
        <v>20.58</v>
      </c>
      <c r="H1044">
        <v>7</v>
      </c>
      <c r="I1044">
        <v>0</v>
      </c>
      <c r="J1044">
        <v>28</v>
      </c>
      <c r="K1044">
        <v>28</v>
      </c>
      <c r="L1044">
        <v>7</v>
      </c>
      <c r="O1044">
        <v>7</v>
      </c>
      <c r="P1044">
        <v>4</v>
      </c>
      <c r="Q1044">
        <v>0</v>
      </c>
      <c r="R1044">
        <v>66.58</v>
      </c>
      <c r="S1044">
        <v>0</v>
      </c>
      <c r="T1044">
        <v>0</v>
      </c>
      <c r="U1044">
        <v>0</v>
      </c>
      <c r="V1044">
        <v>0</v>
      </c>
      <c r="X1044">
        <v>66.58</v>
      </c>
    </row>
    <row r="1045" spans="1:24" ht="15">
      <c r="A1045">
        <v>1038</v>
      </c>
      <c r="B1045">
        <v>12818</v>
      </c>
      <c r="C1045" t="s">
        <v>399</v>
      </c>
      <c r="D1045" t="s">
        <v>170</v>
      </c>
      <c r="E1045" t="s">
        <v>80</v>
      </c>
      <c r="F1045" t="str">
        <f>"201503000177"</f>
        <v>201503000177</v>
      </c>
      <c r="G1045">
        <v>18.55</v>
      </c>
      <c r="H1045">
        <v>0</v>
      </c>
      <c r="I1045">
        <v>0</v>
      </c>
      <c r="J1045">
        <v>28</v>
      </c>
      <c r="K1045">
        <v>28</v>
      </c>
      <c r="L1045">
        <v>7</v>
      </c>
      <c r="N1045">
        <v>3</v>
      </c>
      <c r="O1045">
        <v>10</v>
      </c>
      <c r="P1045">
        <v>4</v>
      </c>
      <c r="Q1045">
        <v>0</v>
      </c>
      <c r="R1045">
        <v>60.55</v>
      </c>
      <c r="S1045">
        <v>0</v>
      </c>
      <c r="T1045">
        <v>0</v>
      </c>
      <c r="U1045">
        <v>6</v>
      </c>
      <c r="V1045">
        <v>0</v>
      </c>
      <c r="X1045">
        <v>66.55</v>
      </c>
    </row>
    <row r="1046" spans="1:24" ht="15">
      <c r="A1046">
        <v>1039</v>
      </c>
      <c r="B1046">
        <v>146</v>
      </c>
      <c r="C1046" t="s">
        <v>406</v>
      </c>
      <c r="D1046" t="s">
        <v>76</v>
      </c>
      <c r="E1046" t="s">
        <v>111</v>
      </c>
      <c r="F1046" t="str">
        <f>"201304000203"</f>
        <v>201304000203</v>
      </c>
      <c r="G1046">
        <v>19.38</v>
      </c>
      <c r="H1046">
        <v>7</v>
      </c>
      <c r="I1046">
        <v>0</v>
      </c>
      <c r="J1046">
        <v>20</v>
      </c>
      <c r="K1046">
        <v>20</v>
      </c>
      <c r="L1046">
        <v>7</v>
      </c>
      <c r="N1046">
        <v>3</v>
      </c>
      <c r="O1046">
        <v>10</v>
      </c>
      <c r="P1046">
        <v>4</v>
      </c>
      <c r="Q1046">
        <v>0</v>
      </c>
      <c r="R1046">
        <v>60.38</v>
      </c>
      <c r="S1046">
        <v>0</v>
      </c>
      <c r="T1046">
        <v>0</v>
      </c>
      <c r="U1046">
        <v>6</v>
      </c>
      <c r="V1046">
        <v>0</v>
      </c>
      <c r="X1046">
        <v>66.38</v>
      </c>
    </row>
    <row r="1047" spans="1:24" ht="15">
      <c r="A1047">
        <v>1040</v>
      </c>
      <c r="B1047">
        <v>94387</v>
      </c>
      <c r="C1047" t="s">
        <v>393</v>
      </c>
      <c r="D1047" t="s">
        <v>407</v>
      </c>
      <c r="E1047" t="s">
        <v>408</v>
      </c>
      <c r="F1047" t="str">
        <f>"200908000448"</f>
        <v>200908000448</v>
      </c>
      <c r="G1047">
        <v>17.25</v>
      </c>
      <c r="H1047">
        <v>0</v>
      </c>
      <c r="I1047">
        <v>0</v>
      </c>
      <c r="J1047">
        <v>28</v>
      </c>
      <c r="K1047">
        <v>28</v>
      </c>
      <c r="L1047">
        <v>14</v>
      </c>
      <c r="O1047">
        <v>14</v>
      </c>
      <c r="P1047">
        <v>4</v>
      </c>
      <c r="Q1047">
        <v>0</v>
      </c>
      <c r="R1047">
        <v>63.25</v>
      </c>
      <c r="S1047">
        <v>0</v>
      </c>
      <c r="T1047">
        <v>0</v>
      </c>
      <c r="U1047">
        <v>3</v>
      </c>
      <c r="V1047">
        <v>0</v>
      </c>
      <c r="X1047">
        <v>66.25</v>
      </c>
    </row>
    <row r="1048" spans="1:24" ht="15">
      <c r="A1048">
        <v>1041</v>
      </c>
      <c r="B1048">
        <v>16287</v>
      </c>
      <c r="C1048" t="s">
        <v>410</v>
      </c>
      <c r="D1048" t="s">
        <v>253</v>
      </c>
      <c r="E1048" t="s">
        <v>148</v>
      </c>
      <c r="F1048" t="str">
        <f>"00605996"</f>
        <v>00605996</v>
      </c>
      <c r="G1048">
        <v>18.1</v>
      </c>
      <c r="H1048">
        <v>0</v>
      </c>
      <c r="I1048">
        <v>0</v>
      </c>
      <c r="J1048">
        <v>28</v>
      </c>
      <c r="K1048">
        <v>28</v>
      </c>
      <c r="L1048">
        <v>7</v>
      </c>
      <c r="N1048">
        <v>3</v>
      </c>
      <c r="O1048">
        <v>10</v>
      </c>
      <c r="P1048">
        <v>4</v>
      </c>
      <c r="Q1048">
        <v>0</v>
      </c>
      <c r="R1048">
        <v>60.1</v>
      </c>
      <c r="S1048">
        <v>0</v>
      </c>
      <c r="T1048">
        <v>0</v>
      </c>
      <c r="U1048">
        <v>6</v>
      </c>
      <c r="V1048">
        <v>0</v>
      </c>
      <c r="X1048">
        <v>66.1</v>
      </c>
    </row>
    <row r="1049" spans="1:24" ht="15">
      <c r="A1049">
        <v>1042</v>
      </c>
      <c r="B1049">
        <v>99933</v>
      </c>
      <c r="C1049" t="s">
        <v>411</v>
      </c>
      <c r="D1049" t="s">
        <v>37</v>
      </c>
      <c r="E1049" t="s">
        <v>53</v>
      </c>
      <c r="F1049" t="str">
        <f>"201412005026"</f>
        <v>201412005026</v>
      </c>
      <c r="G1049">
        <v>21.1</v>
      </c>
      <c r="H1049">
        <v>0</v>
      </c>
      <c r="I1049">
        <v>0</v>
      </c>
      <c r="J1049">
        <v>28</v>
      </c>
      <c r="K1049">
        <v>28</v>
      </c>
      <c r="L1049">
        <v>7</v>
      </c>
      <c r="N1049">
        <v>3</v>
      </c>
      <c r="O1049">
        <v>10</v>
      </c>
      <c r="P1049">
        <v>4</v>
      </c>
      <c r="Q1049">
        <v>0</v>
      </c>
      <c r="R1049">
        <v>63.1</v>
      </c>
      <c r="S1049">
        <v>0</v>
      </c>
      <c r="T1049">
        <v>0</v>
      </c>
      <c r="U1049">
        <v>3</v>
      </c>
      <c r="V1049">
        <v>0</v>
      </c>
      <c r="X1049">
        <v>66.1</v>
      </c>
    </row>
    <row r="1050" spans="1:24" ht="15">
      <c r="A1050">
        <v>1043</v>
      </c>
      <c r="B1050">
        <v>85140</v>
      </c>
      <c r="C1050" t="s">
        <v>376</v>
      </c>
      <c r="D1050" t="s">
        <v>37</v>
      </c>
      <c r="E1050" t="s">
        <v>139</v>
      </c>
      <c r="F1050" t="str">
        <f>"00634973"</f>
        <v>00634973</v>
      </c>
      <c r="G1050">
        <v>25</v>
      </c>
      <c r="H1050">
        <v>0</v>
      </c>
      <c r="I1050">
        <v>0</v>
      </c>
      <c r="J1050">
        <v>20</v>
      </c>
      <c r="K1050">
        <v>20</v>
      </c>
      <c r="L1050">
        <v>14</v>
      </c>
      <c r="O1050">
        <v>14</v>
      </c>
      <c r="P1050">
        <v>4</v>
      </c>
      <c r="Q1050">
        <v>0</v>
      </c>
      <c r="R1050">
        <v>63</v>
      </c>
      <c r="S1050">
        <v>0</v>
      </c>
      <c r="T1050">
        <v>0</v>
      </c>
      <c r="U1050">
        <v>3</v>
      </c>
      <c r="V1050">
        <v>0</v>
      </c>
      <c r="X1050">
        <v>66</v>
      </c>
    </row>
    <row r="1051" spans="1:24" ht="15">
      <c r="A1051">
        <v>1044</v>
      </c>
      <c r="B1051">
        <v>67623</v>
      </c>
      <c r="C1051" t="s">
        <v>415</v>
      </c>
      <c r="D1051" t="s">
        <v>416</v>
      </c>
      <c r="E1051" t="s">
        <v>21</v>
      </c>
      <c r="F1051" t="str">
        <f>"00297569"</f>
        <v>00297569</v>
      </c>
      <c r="G1051">
        <v>21.88</v>
      </c>
      <c r="H1051">
        <v>0</v>
      </c>
      <c r="I1051">
        <v>0</v>
      </c>
      <c r="J1051">
        <v>28</v>
      </c>
      <c r="K1051">
        <v>28</v>
      </c>
      <c r="L1051">
        <v>7</v>
      </c>
      <c r="M1051">
        <v>5</v>
      </c>
      <c r="O1051">
        <v>12</v>
      </c>
      <c r="P1051">
        <v>4</v>
      </c>
      <c r="Q1051">
        <v>0</v>
      </c>
      <c r="R1051">
        <v>65.88</v>
      </c>
      <c r="S1051">
        <v>0</v>
      </c>
      <c r="T1051">
        <v>0</v>
      </c>
      <c r="U1051">
        <v>0</v>
      </c>
      <c r="V1051">
        <v>0</v>
      </c>
      <c r="X1051">
        <v>65.88</v>
      </c>
    </row>
    <row r="1052" spans="1:24" ht="15">
      <c r="A1052">
        <v>1045</v>
      </c>
      <c r="B1052">
        <v>80486</v>
      </c>
      <c r="C1052" t="s">
        <v>417</v>
      </c>
      <c r="D1052" t="s">
        <v>418</v>
      </c>
      <c r="E1052" t="s">
        <v>419</v>
      </c>
      <c r="F1052" t="str">
        <f>"00509462"</f>
        <v>00509462</v>
      </c>
      <c r="G1052">
        <v>16.8</v>
      </c>
      <c r="H1052">
        <v>7</v>
      </c>
      <c r="I1052">
        <v>0</v>
      </c>
      <c r="J1052">
        <v>28</v>
      </c>
      <c r="K1052">
        <v>28</v>
      </c>
      <c r="N1052">
        <v>3</v>
      </c>
      <c r="O1052">
        <v>3</v>
      </c>
      <c r="P1052">
        <v>4</v>
      </c>
      <c r="Q1052">
        <v>0</v>
      </c>
      <c r="R1052">
        <v>58.8</v>
      </c>
      <c r="S1052">
        <v>1</v>
      </c>
      <c r="T1052">
        <v>1</v>
      </c>
      <c r="U1052">
        <v>6</v>
      </c>
      <c r="V1052">
        <v>0</v>
      </c>
      <c r="X1052">
        <v>65.8</v>
      </c>
    </row>
    <row r="1053" spans="1:24" ht="15">
      <c r="A1053">
        <v>1046</v>
      </c>
      <c r="B1053">
        <v>113249</v>
      </c>
      <c r="C1053" t="s">
        <v>420</v>
      </c>
      <c r="D1053" t="s">
        <v>421</v>
      </c>
      <c r="E1053" t="s">
        <v>80</v>
      </c>
      <c r="F1053" t="str">
        <f>"00637628"</f>
        <v>00637628</v>
      </c>
      <c r="G1053">
        <v>20.75</v>
      </c>
      <c r="H1053">
        <v>0</v>
      </c>
      <c r="I1053">
        <v>0</v>
      </c>
      <c r="J1053">
        <v>20</v>
      </c>
      <c r="K1053">
        <v>20</v>
      </c>
      <c r="L1053">
        <v>7</v>
      </c>
      <c r="O1053">
        <v>7</v>
      </c>
      <c r="P1053">
        <v>4</v>
      </c>
      <c r="Q1053">
        <v>0</v>
      </c>
      <c r="R1053">
        <v>51.75</v>
      </c>
      <c r="S1053">
        <v>5</v>
      </c>
      <c r="T1053">
        <v>5</v>
      </c>
      <c r="U1053">
        <v>9</v>
      </c>
      <c r="V1053">
        <v>0</v>
      </c>
      <c r="X1053">
        <v>65.75</v>
      </c>
    </row>
    <row r="1054" spans="1:24" ht="15">
      <c r="A1054">
        <v>1047</v>
      </c>
      <c r="B1054">
        <v>94358</v>
      </c>
      <c r="C1054" t="s">
        <v>423</v>
      </c>
      <c r="D1054" t="s">
        <v>60</v>
      </c>
      <c r="E1054" t="s">
        <v>12</v>
      </c>
      <c r="F1054" t="str">
        <f>"201412006889"</f>
        <v>201412006889</v>
      </c>
      <c r="G1054">
        <v>17.58</v>
      </c>
      <c r="H1054">
        <v>0</v>
      </c>
      <c r="I1054">
        <v>0</v>
      </c>
      <c r="J1054">
        <v>28</v>
      </c>
      <c r="K1054">
        <v>28</v>
      </c>
      <c r="L1054">
        <v>7</v>
      </c>
      <c r="N1054">
        <v>3</v>
      </c>
      <c r="O1054">
        <v>10</v>
      </c>
      <c r="P1054">
        <v>4</v>
      </c>
      <c r="Q1054">
        <v>0</v>
      </c>
      <c r="R1054">
        <v>59.58</v>
      </c>
      <c r="S1054">
        <v>0</v>
      </c>
      <c r="T1054">
        <v>0</v>
      </c>
      <c r="U1054">
        <v>6</v>
      </c>
      <c r="V1054">
        <v>0</v>
      </c>
      <c r="X1054">
        <v>65.58</v>
      </c>
    </row>
    <row r="1055" spans="1:24" ht="15">
      <c r="A1055">
        <v>1048</v>
      </c>
      <c r="B1055">
        <v>102509</v>
      </c>
      <c r="C1055" t="s">
        <v>426</v>
      </c>
      <c r="D1055" t="s">
        <v>427</v>
      </c>
      <c r="E1055" t="s">
        <v>428</v>
      </c>
      <c r="F1055" t="str">
        <f>"200812001038"</f>
        <v>200812001038</v>
      </c>
      <c r="G1055">
        <v>20.4</v>
      </c>
      <c r="H1055">
        <v>0</v>
      </c>
      <c r="I1055">
        <v>0</v>
      </c>
      <c r="J1055">
        <v>28</v>
      </c>
      <c r="K1055">
        <v>28</v>
      </c>
      <c r="L1055">
        <v>7</v>
      </c>
      <c r="N1055">
        <v>3</v>
      </c>
      <c r="O1055">
        <v>10</v>
      </c>
      <c r="P1055">
        <v>4</v>
      </c>
      <c r="Q1055">
        <v>0</v>
      </c>
      <c r="R1055">
        <v>62.4</v>
      </c>
      <c r="S1055">
        <v>0</v>
      </c>
      <c r="T1055">
        <v>0</v>
      </c>
      <c r="U1055">
        <v>3</v>
      </c>
      <c r="V1055">
        <v>0</v>
      </c>
      <c r="X1055">
        <v>65.4</v>
      </c>
    </row>
    <row r="1056" spans="1:24" ht="15">
      <c r="A1056">
        <v>1049</v>
      </c>
      <c r="B1056">
        <v>84894</v>
      </c>
      <c r="C1056" t="s">
        <v>429</v>
      </c>
      <c r="D1056" t="s">
        <v>430</v>
      </c>
      <c r="E1056" t="s">
        <v>27</v>
      </c>
      <c r="F1056" t="str">
        <f>"201402001461"</f>
        <v>201402001461</v>
      </c>
      <c r="G1056">
        <v>21.38</v>
      </c>
      <c r="H1056">
        <v>0</v>
      </c>
      <c r="I1056">
        <v>0</v>
      </c>
      <c r="J1056">
        <v>28</v>
      </c>
      <c r="K1056">
        <v>28</v>
      </c>
      <c r="L1056">
        <v>7</v>
      </c>
      <c r="M1056">
        <v>5</v>
      </c>
      <c r="O1056">
        <v>12</v>
      </c>
      <c r="P1056">
        <v>4</v>
      </c>
      <c r="Q1056">
        <v>0</v>
      </c>
      <c r="R1056">
        <v>65.38</v>
      </c>
      <c r="S1056">
        <v>0</v>
      </c>
      <c r="T1056">
        <v>0</v>
      </c>
      <c r="U1056">
        <v>0</v>
      </c>
      <c r="V1056">
        <v>0</v>
      </c>
      <c r="X1056">
        <v>65.38</v>
      </c>
    </row>
    <row r="1057" spans="1:24" ht="15">
      <c r="A1057">
        <v>1050</v>
      </c>
      <c r="B1057">
        <v>109826</v>
      </c>
      <c r="C1057" t="s">
        <v>432</v>
      </c>
      <c r="D1057" t="s">
        <v>236</v>
      </c>
      <c r="E1057" t="s">
        <v>124</v>
      </c>
      <c r="F1057" t="str">
        <f>"00611668"</f>
        <v>00611668</v>
      </c>
      <c r="G1057">
        <v>17.33</v>
      </c>
      <c r="H1057">
        <v>0</v>
      </c>
      <c r="I1057">
        <v>0</v>
      </c>
      <c r="J1057">
        <v>28</v>
      </c>
      <c r="K1057">
        <v>28</v>
      </c>
      <c r="L1057">
        <v>7</v>
      </c>
      <c r="O1057">
        <v>7</v>
      </c>
      <c r="P1057">
        <v>4</v>
      </c>
      <c r="Q1057">
        <v>0</v>
      </c>
      <c r="R1057">
        <v>56.33</v>
      </c>
      <c r="S1057">
        <v>0</v>
      </c>
      <c r="T1057">
        <v>0</v>
      </c>
      <c r="U1057">
        <v>9</v>
      </c>
      <c r="V1057">
        <v>0</v>
      </c>
      <c r="X1057">
        <v>65.33</v>
      </c>
    </row>
    <row r="1058" spans="1:24" ht="15">
      <c r="A1058">
        <v>1051</v>
      </c>
      <c r="B1058">
        <v>92087</v>
      </c>
      <c r="C1058" t="s">
        <v>433</v>
      </c>
      <c r="D1058" t="s">
        <v>363</v>
      </c>
      <c r="E1058" t="s">
        <v>106</v>
      </c>
      <c r="F1058" t="str">
        <f>"00640600"</f>
        <v>00640600</v>
      </c>
      <c r="G1058">
        <v>21.33</v>
      </c>
      <c r="H1058">
        <v>0</v>
      </c>
      <c r="I1058">
        <v>0</v>
      </c>
      <c r="J1058">
        <v>28</v>
      </c>
      <c r="K1058">
        <v>28</v>
      </c>
      <c r="L1058">
        <v>7</v>
      </c>
      <c r="M1058">
        <v>5</v>
      </c>
      <c r="O1058">
        <v>12</v>
      </c>
      <c r="P1058">
        <v>4</v>
      </c>
      <c r="Q1058">
        <v>0</v>
      </c>
      <c r="R1058">
        <v>65.33</v>
      </c>
      <c r="S1058">
        <v>0</v>
      </c>
      <c r="T1058">
        <v>0</v>
      </c>
      <c r="U1058">
        <v>0</v>
      </c>
      <c r="V1058">
        <v>0</v>
      </c>
      <c r="X1058">
        <v>65.33</v>
      </c>
    </row>
    <row r="1059" spans="1:24" ht="15">
      <c r="A1059">
        <v>1052</v>
      </c>
      <c r="B1059">
        <v>90584</v>
      </c>
      <c r="C1059" t="s">
        <v>434</v>
      </c>
      <c r="D1059" t="s">
        <v>17</v>
      </c>
      <c r="E1059" t="s">
        <v>27</v>
      </c>
      <c r="F1059" t="str">
        <f>"00516253"</f>
        <v>00516253</v>
      </c>
      <c r="G1059">
        <v>15.3</v>
      </c>
      <c r="H1059">
        <v>0</v>
      </c>
      <c r="I1059">
        <v>0</v>
      </c>
      <c r="J1059">
        <v>0</v>
      </c>
      <c r="K1059">
        <v>0</v>
      </c>
      <c r="N1059">
        <v>3</v>
      </c>
      <c r="O1059">
        <v>3</v>
      </c>
      <c r="P1059">
        <v>4</v>
      </c>
      <c r="Q1059">
        <v>0</v>
      </c>
      <c r="R1059">
        <v>22.3</v>
      </c>
      <c r="S1059">
        <v>0</v>
      </c>
      <c r="T1059">
        <v>0</v>
      </c>
      <c r="U1059">
        <v>9</v>
      </c>
      <c r="V1059">
        <v>34</v>
      </c>
      <c r="X1059">
        <v>65.3</v>
      </c>
    </row>
    <row r="1060" spans="1:24" ht="15">
      <c r="A1060">
        <v>1053</v>
      </c>
      <c r="B1060">
        <v>74921</v>
      </c>
      <c r="C1060" t="s">
        <v>440</v>
      </c>
      <c r="D1060" t="s">
        <v>27</v>
      </c>
      <c r="E1060" t="s">
        <v>17</v>
      </c>
      <c r="F1060" t="str">
        <f>"201402007620"</f>
        <v>201402007620</v>
      </c>
      <c r="G1060">
        <v>20.13</v>
      </c>
      <c r="H1060">
        <v>0</v>
      </c>
      <c r="I1060">
        <v>0</v>
      </c>
      <c r="J1060">
        <v>28</v>
      </c>
      <c r="K1060">
        <v>28</v>
      </c>
      <c r="L1060">
        <v>7</v>
      </c>
      <c r="O1060">
        <v>7</v>
      </c>
      <c r="P1060">
        <v>4</v>
      </c>
      <c r="Q1060">
        <v>0</v>
      </c>
      <c r="R1060">
        <v>59.13</v>
      </c>
      <c r="S1060">
        <v>0</v>
      </c>
      <c r="T1060">
        <v>0</v>
      </c>
      <c r="U1060">
        <v>6</v>
      </c>
      <c r="V1060">
        <v>0</v>
      </c>
      <c r="X1060">
        <v>65.13</v>
      </c>
    </row>
    <row r="1061" spans="1:24" ht="15">
      <c r="A1061">
        <v>1054</v>
      </c>
      <c r="B1061">
        <v>95131</v>
      </c>
      <c r="C1061" t="s">
        <v>441</v>
      </c>
      <c r="D1061" t="s">
        <v>442</v>
      </c>
      <c r="E1061" t="s">
        <v>443</v>
      </c>
      <c r="F1061" t="str">
        <f>"00014164"</f>
        <v>00014164</v>
      </c>
      <c r="G1061">
        <v>19.05</v>
      </c>
      <c r="H1061">
        <v>0</v>
      </c>
      <c r="I1061">
        <v>0</v>
      </c>
      <c r="J1061">
        <v>28</v>
      </c>
      <c r="K1061">
        <v>28</v>
      </c>
      <c r="L1061">
        <v>14</v>
      </c>
      <c r="O1061">
        <v>14</v>
      </c>
      <c r="P1061">
        <v>4</v>
      </c>
      <c r="Q1061">
        <v>0</v>
      </c>
      <c r="R1061">
        <v>65.05</v>
      </c>
      <c r="S1061">
        <v>0</v>
      </c>
      <c r="T1061">
        <v>0</v>
      </c>
      <c r="U1061">
        <v>0</v>
      </c>
      <c r="V1061">
        <v>0</v>
      </c>
      <c r="X1061">
        <v>65.05</v>
      </c>
    </row>
    <row r="1062" spans="1:24" ht="15">
      <c r="A1062">
        <v>1055</v>
      </c>
      <c r="B1062">
        <v>40587</v>
      </c>
      <c r="C1062" t="s">
        <v>444</v>
      </c>
      <c r="D1062" t="s">
        <v>349</v>
      </c>
      <c r="E1062" t="s">
        <v>391</v>
      </c>
      <c r="F1062" t="str">
        <f>"00618325"</f>
        <v>00618325</v>
      </c>
      <c r="G1062">
        <v>20</v>
      </c>
      <c r="H1062">
        <v>0</v>
      </c>
      <c r="I1062">
        <v>0</v>
      </c>
      <c r="J1062">
        <v>20</v>
      </c>
      <c r="K1062">
        <v>20</v>
      </c>
      <c r="L1062">
        <v>7</v>
      </c>
      <c r="M1062">
        <v>5</v>
      </c>
      <c r="O1062">
        <v>12</v>
      </c>
      <c r="P1062">
        <v>4</v>
      </c>
      <c r="Q1062">
        <v>0</v>
      </c>
      <c r="R1062">
        <v>56</v>
      </c>
      <c r="S1062">
        <v>0</v>
      </c>
      <c r="T1062">
        <v>0</v>
      </c>
      <c r="U1062">
        <v>9</v>
      </c>
      <c r="V1062">
        <v>0</v>
      </c>
      <c r="X1062">
        <v>65</v>
      </c>
    </row>
    <row r="1063" spans="1:24" ht="15">
      <c r="A1063">
        <v>1056</v>
      </c>
      <c r="B1063">
        <v>75502</v>
      </c>
      <c r="C1063" t="s">
        <v>445</v>
      </c>
      <c r="D1063" t="s">
        <v>37</v>
      </c>
      <c r="E1063" t="s">
        <v>124</v>
      </c>
      <c r="F1063" t="str">
        <f>"00201857"</f>
        <v>00201857</v>
      </c>
      <c r="G1063">
        <v>20.98</v>
      </c>
      <c r="H1063">
        <v>0</v>
      </c>
      <c r="I1063">
        <v>0</v>
      </c>
      <c r="J1063">
        <v>20</v>
      </c>
      <c r="K1063">
        <v>20</v>
      </c>
      <c r="L1063">
        <v>14</v>
      </c>
      <c r="O1063">
        <v>14</v>
      </c>
      <c r="P1063">
        <v>4</v>
      </c>
      <c r="Q1063">
        <v>0</v>
      </c>
      <c r="R1063">
        <v>58.98</v>
      </c>
      <c r="S1063">
        <v>0</v>
      </c>
      <c r="T1063">
        <v>0</v>
      </c>
      <c r="U1063">
        <v>6</v>
      </c>
      <c r="V1063">
        <v>0</v>
      </c>
      <c r="X1063">
        <v>64.98</v>
      </c>
    </row>
    <row r="1064" spans="1:24" ht="15">
      <c r="A1064">
        <v>1057</v>
      </c>
      <c r="B1064">
        <v>93723</v>
      </c>
      <c r="C1064" t="s">
        <v>447</v>
      </c>
      <c r="D1064" t="s">
        <v>75</v>
      </c>
      <c r="E1064" t="s">
        <v>53</v>
      </c>
      <c r="F1064" t="str">
        <f>"00651371"</f>
        <v>00651371</v>
      </c>
      <c r="G1064">
        <v>19.9</v>
      </c>
      <c r="H1064">
        <v>0</v>
      </c>
      <c r="I1064">
        <v>0</v>
      </c>
      <c r="J1064">
        <v>28</v>
      </c>
      <c r="K1064">
        <v>28</v>
      </c>
      <c r="L1064">
        <v>7</v>
      </c>
      <c r="N1064">
        <v>3</v>
      </c>
      <c r="O1064">
        <v>10</v>
      </c>
      <c r="P1064">
        <v>4</v>
      </c>
      <c r="Q1064">
        <v>0</v>
      </c>
      <c r="R1064">
        <v>61.9</v>
      </c>
      <c r="S1064">
        <v>0</v>
      </c>
      <c r="T1064">
        <v>0</v>
      </c>
      <c r="U1064">
        <v>3</v>
      </c>
      <c r="V1064">
        <v>0</v>
      </c>
      <c r="X1064">
        <v>64.9</v>
      </c>
    </row>
    <row r="1065" spans="1:24" ht="15">
      <c r="A1065">
        <v>1058</v>
      </c>
      <c r="B1065">
        <v>48410</v>
      </c>
      <c r="C1065" t="s">
        <v>458</v>
      </c>
      <c r="D1065" t="s">
        <v>316</v>
      </c>
      <c r="E1065" t="s">
        <v>124</v>
      </c>
      <c r="F1065" t="str">
        <f>"201503000123"</f>
        <v>201503000123</v>
      </c>
      <c r="G1065">
        <v>19.23</v>
      </c>
      <c r="H1065">
        <v>0</v>
      </c>
      <c r="I1065">
        <v>0</v>
      </c>
      <c r="J1065">
        <v>28</v>
      </c>
      <c r="K1065">
        <v>28</v>
      </c>
      <c r="L1065">
        <v>7</v>
      </c>
      <c r="O1065">
        <v>7</v>
      </c>
      <c r="P1065">
        <v>4</v>
      </c>
      <c r="Q1065">
        <v>0</v>
      </c>
      <c r="R1065">
        <v>58.23</v>
      </c>
      <c r="S1065">
        <v>0</v>
      </c>
      <c r="T1065">
        <v>0</v>
      </c>
      <c r="U1065">
        <v>6</v>
      </c>
      <c r="V1065">
        <v>0</v>
      </c>
      <c r="X1065">
        <v>64.23</v>
      </c>
    </row>
    <row r="1066" spans="1:24" ht="15">
      <c r="A1066">
        <v>1059</v>
      </c>
      <c r="B1066">
        <v>109102</v>
      </c>
      <c r="C1066" t="s">
        <v>459</v>
      </c>
      <c r="D1066" t="s">
        <v>442</v>
      </c>
      <c r="E1066" t="s">
        <v>80</v>
      </c>
      <c r="F1066" t="str">
        <f>"00650918"</f>
        <v>00650918</v>
      </c>
      <c r="G1066">
        <v>22.23</v>
      </c>
      <c r="H1066">
        <v>0</v>
      </c>
      <c r="I1066">
        <v>0</v>
      </c>
      <c r="J1066">
        <v>28</v>
      </c>
      <c r="K1066">
        <v>28</v>
      </c>
      <c r="L1066">
        <v>7</v>
      </c>
      <c r="N1066">
        <v>3</v>
      </c>
      <c r="O1066">
        <v>10</v>
      </c>
      <c r="P1066">
        <v>4</v>
      </c>
      <c r="Q1066">
        <v>0</v>
      </c>
      <c r="R1066">
        <v>64.23</v>
      </c>
      <c r="S1066">
        <v>0</v>
      </c>
      <c r="T1066">
        <v>0</v>
      </c>
      <c r="U1066">
        <v>0</v>
      </c>
      <c r="V1066">
        <v>0</v>
      </c>
      <c r="X1066">
        <v>64.23</v>
      </c>
    </row>
    <row r="1067" spans="1:24" ht="15">
      <c r="A1067">
        <v>1060</v>
      </c>
      <c r="B1067">
        <v>44389</v>
      </c>
      <c r="C1067" t="s">
        <v>460</v>
      </c>
      <c r="D1067" t="s">
        <v>461</v>
      </c>
      <c r="E1067" t="s">
        <v>375</v>
      </c>
      <c r="F1067" t="str">
        <f>"00627700"</f>
        <v>00627700</v>
      </c>
      <c r="G1067">
        <v>22.2</v>
      </c>
      <c r="H1067">
        <v>0</v>
      </c>
      <c r="I1067">
        <v>0</v>
      </c>
      <c r="J1067">
        <v>28</v>
      </c>
      <c r="K1067">
        <v>28</v>
      </c>
      <c r="L1067">
        <v>7</v>
      </c>
      <c r="N1067">
        <v>3</v>
      </c>
      <c r="O1067">
        <v>10</v>
      </c>
      <c r="P1067">
        <v>4</v>
      </c>
      <c r="Q1067">
        <v>0</v>
      </c>
      <c r="R1067">
        <v>64.2</v>
      </c>
      <c r="S1067">
        <v>0</v>
      </c>
      <c r="T1067">
        <v>0</v>
      </c>
      <c r="U1067">
        <v>0</v>
      </c>
      <c r="V1067">
        <v>0</v>
      </c>
      <c r="X1067">
        <v>64.2</v>
      </c>
    </row>
    <row r="1068" spans="1:24" ht="15">
      <c r="A1068">
        <v>1061</v>
      </c>
      <c r="B1068">
        <v>28369</v>
      </c>
      <c r="C1068" t="s">
        <v>462</v>
      </c>
      <c r="D1068" t="s">
        <v>370</v>
      </c>
      <c r="E1068" t="s">
        <v>30</v>
      </c>
      <c r="F1068" t="str">
        <f>"201504005102"</f>
        <v>201504005102</v>
      </c>
      <c r="G1068">
        <v>19.13</v>
      </c>
      <c r="H1068">
        <v>0</v>
      </c>
      <c r="I1068">
        <v>0</v>
      </c>
      <c r="J1068">
        <v>28</v>
      </c>
      <c r="K1068">
        <v>28</v>
      </c>
      <c r="L1068">
        <v>7</v>
      </c>
      <c r="N1068">
        <v>3</v>
      </c>
      <c r="O1068">
        <v>10</v>
      </c>
      <c r="P1068">
        <v>4</v>
      </c>
      <c r="Q1068">
        <v>0</v>
      </c>
      <c r="R1068">
        <v>61.13</v>
      </c>
      <c r="S1068">
        <v>0</v>
      </c>
      <c r="T1068">
        <v>0</v>
      </c>
      <c r="U1068">
        <v>3</v>
      </c>
      <c r="V1068">
        <v>0</v>
      </c>
      <c r="X1068">
        <v>64.13</v>
      </c>
    </row>
    <row r="1069" spans="1:24" ht="15">
      <c r="A1069">
        <v>1062</v>
      </c>
      <c r="B1069">
        <v>108537</v>
      </c>
      <c r="C1069" t="s">
        <v>463</v>
      </c>
      <c r="D1069" t="s">
        <v>37</v>
      </c>
      <c r="E1069" t="s">
        <v>23</v>
      </c>
      <c r="F1069" t="str">
        <f>"201412001925"</f>
        <v>201412001925</v>
      </c>
      <c r="G1069">
        <v>19.1</v>
      </c>
      <c r="H1069">
        <v>0</v>
      </c>
      <c r="I1069">
        <v>0</v>
      </c>
      <c r="J1069">
        <v>28</v>
      </c>
      <c r="K1069">
        <v>28</v>
      </c>
      <c r="L1069">
        <v>7</v>
      </c>
      <c r="O1069">
        <v>7</v>
      </c>
      <c r="P1069">
        <v>4</v>
      </c>
      <c r="Q1069">
        <v>0</v>
      </c>
      <c r="R1069">
        <v>58.1</v>
      </c>
      <c r="S1069">
        <v>0</v>
      </c>
      <c r="T1069">
        <v>0</v>
      </c>
      <c r="U1069">
        <v>6</v>
      </c>
      <c r="V1069">
        <v>0</v>
      </c>
      <c r="X1069">
        <v>64.1</v>
      </c>
    </row>
    <row r="1070" spans="1:24" ht="15">
      <c r="A1070">
        <v>1063</v>
      </c>
      <c r="B1070">
        <v>12592</v>
      </c>
      <c r="C1070" t="s">
        <v>466</v>
      </c>
      <c r="D1070" t="s">
        <v>41</v>
      </c>
      <c r="E1070" t="s">
        <v>467</v>
      </c>
      <c r="F1070" t="str">
        <f>"00580537"</f>
        <v>00580537</v>
      </c>
      <c r="G1070">
        <v>17.05</v>
      </c>
      <c r="H1070">
        <v>0</v>
      </c>
      <c r="I1070">
        <v>0</v>
      </c>
      <c r="J1070">
        <v>28</v>
      </c>
      <c r="K1070">
        <v>28</v>
      </c>
      <c r="N1070">
        <v>6</v>
      </c>
      <c r="O1070">
        <v>6</v>
      </c>
      <c r="P1070">
        <v>4</v>
      </c>
      <c r="Q1070">
        <v>0</v>
      </c>
      <c r="R1070">
        <v>55.05</v>
      </c>
      <c r="S1070">
        <v>0</v>
      </c>
      <c r="T1070">
        <v>0</v>
      </c>
      <c r="U1070">
        <v>9</v>
      </c>
      <c r="V1070">
        <v>0</v>
      </c>
      <c r="X1070">
        <v>64.05</v>
      </c>
    </row>
    <row r="1071" spans="1:24" ht="15">
      <c r="A1071">
        <v>1064</v>
      </c>
      <c r="B1071">
        <v>81518</v>
      </c>
      <c r="C1071" t="s">
        <v>473</v>
      </c>
      <c r="D1071" t="s">
        <v>474</v>
      </c>
      <c r="E1071" t="s">
        <v>76</v>
      </c>
      <c r="F1071" t="str">
        <f>"00427364"</f>
        <v>00427364</v>
      </c>
      <c r="G1071">
        <v>21.8</v>
      </c>
      <c r="H1071">
        <v>0</v>
      </c>
      <c r="I1071">
        <v>0</v>
      </c>
      <c r="J1071">
        <v>28</v>
      </c>
      <c r="K1071">
        <v>28</v>
      </c>
      <c r="L1071">
        <v>7</v>
      </c>
      <c r="N1071">
        <v>3</v>
      </c>
      <c r="O1071">
        <v>10</v>
      </c>
      <c r="P1071">
        <v>4</v>
      </c>
      <c r="Q1071">
        <v>0</v>
      </c>
      <c r="R1071">
        <v>63.8</v>
      </c>
      <c r="S1071">
        <v>0</v>
      </c>
      <c r="T1071">
        <v>0</v>
      </c>
      <c r="U1071">
        <v>0</v>
      </c>
      <c r="V1071">
        <v>0</v>
      </c>
      <c r="X1071">
        <v>63.8</v>
      </c>
    </row>
    <row r="1072" spans="1:24" ht="15">
      <c r="A1072">
        <v>1065</v>
      </c>
      <c r="B1072">
        <v>49388</v>
      </c>
      <c r="C1072" t="s">
        <v>475</v>
      </c>
      <c r="D1072" t="s">
        <v>349</v>
      </c>
      <c r="E1072" t="s">
        <v>12</v>
      </c>
      <c r="F1072" t="str">
        <f>"00001768"</f>
        <v>00001768</v>
      </c>
      <c r="G1072">
        <v>18.78</v>
      </c>
      <c r="H1072">
        <v>0</v>
      </c>
      <c r="I1072">
        <v>0</v>
      </c>
      <c r="J1072">
        <v>28</v>
      </c>
      <c r="K1072">
        <v>28</v>
      </c>
      <c r="L1072">
        <v>7</v>
      </c>
      <c r="N1072">
        <v>3</v>
      </c>
      <c r="O1072">
        <v>10</v>
      </c>
      <c r="P1072">
        <v>4</v>
      </c>
      <c r="Q1072">
        <v>0</v>
      </c>
      <c r="R1072">
        <v>60.78</v>
      </c>
      <c r="S1072">
        <v>0</v>
      </c>
      <c r="T1072">
        <v>0</v>
      </c>
      <c r="U1072">
        <v>3</v>
      </c>
      <c r="V1072">
        <v>0</v>
      </c>
      <c r="X1072">
        <v>63.78</v>
      </c>
    </row>
    <row r="1073" spans="1:24" ht="15">
      <c r="A1073">
        <v>1066</v>
      </c>
      <c r="B1073">
        <v>36858</v>
      </c>
      <c r="C1073" t="s">
        <v>36</v>
      </c>
      <c r="D1073" t="s">
        <v>397</v>
      </c>
      <c r="E1073" t="s">
        <v>17</v>
      </c>
      <c r="F1073" t="str">
        <f>"00149999"</f>
        <v>00149999</v>
      </c>
      <c r="G1073">
        <v>21.78</v>
      </c>
      <c r="H1073">
        <v>0</v>
      </c>
      <c r="I1073">
        <v>0</v>
      </c>
      <c r="J1073">
        <v>28</v>
      </c>
      <c r="K1073">
        <v>28</v>
      </c>
      <c r="L1073">
        <v>7</v>
      </c>
      <c r="N1073">
        <v>3</v>
      </c>
      <c r="O1073">
        <v>10</v>
      </c>
      <c r="P1073">
        <v>4</v>
      </c>
      <c r="Q1073">
        <v>0</v>
      </c>
      <c r="R1073">
        <v>63.78</v>
      </c>
      <c r="S1073">
        <v>0</v>
      </c>
      <c r="T1073">
        <v>0</v>
      </c>
      <c r="U1073">
        <v>0</v>
      </c>
      <c r="V1073">
        <v>0</v>
      </c>
      <c r="X1073">
        <v>63.78</v>
      </c>
    </row>
    <row r="1074" spans="1:24" ht="15">
      <c r="A1074">
        <v>1067</v>
      </c>
      <c r="B1074">
        <v>32698</v>
      </c>
      <c r="C1074" t="s">
        <v>476</v>
      </c>
      <c r="D1074" t="s">
        <v>477</v>
      </c>
      <c r="E1074" t="s">
        <v>139</v>
      </c>
      <c r="F1074" t="str">
        <f>"00624325"</f>
        <v>00624325</v>
      </c>
      <c r="G1074">
        <v>18.73</v>
      </c>
      <c r="H1074">
        <v>0</v>
      </c>
      <c r="I1074">
        <v>0</v>
      </c>
      <c r="J1074">
        <v>28</v>
      </c>
      <c r="K1074">
        <v>28</v>
      </c>
      <c r="L1074">
        <v>7</v>
      </c>
      <c r="N1074">
        <v>3</v>
      </c>
      <c r="O1074">
        <v>10</v>
      </c>
      <c r="P1074">
        <v>4</v>
      </c>
      <c r="Q1074">
        <v>0</v>
      </c>
      <c r="R1074">
        <v>60.73</v>
      </c>
      <c r="S1074">
        <v>0</v>
      </c>
      <c r="T1074">
        <v>0</v>
      </c>
      <c r="U1074">
        <v>3</v>
      </c>
      <c r="V1074">
        <v>0</v>
      </c>
      <c r="X1074">
        <v>63.73</v>
      </c>
    </row>
    <row r="1075" spans="1:24" ht="15">
      <c r="A1075">
        <v>1068</v>
      </c>
      <c r="B1075">
        <v>86139</v>
      </c>
      <c r="C1075" t="s">
        <v>332</v>
      </c>
      <c r="D1075" t="s">
        <v>478</v>
      </c>
      <c r="E1075" t="s">
        <v>270</v>
      </c>
      <c r="F1075" t="str">
        <f>"201402008594"</f>
        <v>201402008594</v>
      </c>
      <c r="G1075">
        <v>17.68</v>
      </c>
      <c r="H1075">
        <v>0</v>
      </c>
      <c r="I1075">
        <v>0</v>
      </c>
      <c r="J1075">
        <v>28</v>
      </c>
      <c r="K1075">
        <v>28</v>
      </c>
      <c r="L1075">
        <v>14</v>
      </c>
      <c r="O1075">
        <v>14</v>
      </c>
      <c r="P1075">
        <v>4</v>
      </c>
      <c r="Q1075">
        <v>0</v>
      </c>
      <c r="R1075">
        <v>63.68</v>
      </c>
      <c r="S1075">
        <v>0</v>
      </c>
      <c r="T1075">
        <v>0</v>
      </c>
      <c r="U1075">
        <v>0</v>
      </c>
      <c r="V1075">
        <v>0</v>
      </c>
      <c r="X1075">
        <v>63.68</v>
      </c>
    </row>
    <row r="1076" spans="1:24" ht="15">
      <c r="A1076">
        <v>1069</v>
      </c>
      <c r="B1076">
        <v>82911</v>
      </c>
      <c r="C1076" t="s">
        <v>479</v>
      </c>
      <c r="D1076" t="s">
        <v>480</v>
      </c>
      <c r="E1076" t="s">
        <v>27</v>
      </c>
      <c r="F1076" t="str">
        <f>"00650672"</f>
        <v>00650672</v>
      </c>
      <c r="G1076">
        <v>19.65</v>
      </c>
      <c r="H1076">
        <v>7</v>
      </c>
      <c r="I1076">
        <v>0</v>
      </c>
      <c r="J1076">
        <v>28</v>
      </c>
      <c r="K1076">
        <v>28</v>
      </c>
      <c r="M1076">
        <v>5</v>
      </c>
      <c r="O1076">
        <v>5</v>
      </c>
      <c r="P1076">
        <v>4</v>
      </c>
      <c r="Q1076">
        <v>0</v>
      </c>
      <c r="R1076">
        <v>63.65</v>
      </c>
      <c r="S1076">
        <v>0</v>
      </c>
      <c r="T1076">
        <v>0</v>
      </c>
      <c r="U1076">
        <v>0</v>
      </c>
      <c r="V1076">
        <v>0</v>
      </c>
      <c r="X1076">
        <v>63.65</v>
      </c>
    </row>
    <row r="1077" spans="1:24" ht="15">
      <c r="A1077">
        <v>1070</v>
      </c>
      <c r="B1077">
        <v>7640</v>
      </c>
      <c r="C1077" t="s">
        <v>481</v>
      </c>
      <c r="D1077" t="s">
        <v>153</v>
      </c>
      <c r="E1077" t="s">
        <v>273</v>
      </c>
      <c r="F1077" t="str">
        <f>"200801003047"</f>
        <v>200801003047</v>
      </c>
      <c r="G1077">
        <v>16.6</v>
      </c>
      <c r="H1077">
        <v>0</v>
      </c>
      <c r="I1077">
        <v>0</v>
      </c>
      <c r="J1077">
        <v>28</v>
      </c>
      <c r="K1077">
        <v>28</v>
      </c>
      <c r="M1077">
        <v>5</v>
      </c>
      <c r="O1077">
        <v>5</v>
      </c>
      <c r="P1077">
        <v>4</v>
      </c>
      <c r="Q1077">
        <v>0</v>
      </c>
      <c r="R1077">
        <v>53.6</v>
      </c>
      <c r="S1077">
        <v>1</v>
      </c>
      <c r="T1077">
        <v>1</v>
      </c>
      <c r="U1077">
        <v>9</v>
      </c>
      <c r="V1077">
        <v>0</v>
      </c>
      <c r="X1077">
        <v>63.6</v>
      </c>
    </row>
    <row r="1078" spans="1:24" ht="15">
      <c r="A1078">
        <v>1071</v>
      </c>
      <c r="B1078">
        <v>67409</v>
      </c>
      <c r="C1078" t="s">
        <v>159</v>
      </c>
      <c r="D1078" t="s">
        <v>53</v>
      </c>
      <c r="E1078" t="s">
        <v>21</v>
      </c>
      <c r="F1078" t="str">
        <f>"00617847"</f>
        <v>00617847</v>
      </c>
      <c r="G1078">
        <v>21.6</v>
      </c>
      <c r="H1078">
        <v>0</v>
      </c>
      <c r="I1078">
        <v>0</v>
      </c>
      <c r="J1078">
        <v>28</v>
      </c>
      <c r="K1078">
        <v>28</v>
      </c>
      <c r="L1078">
        <v>7</v>
      </c>
      <c r="N1078">
        <v>3</v>
      </c>
      <c r="O1078">
        <v>10</v>
      </c>
      <c r="P1078">
        <v>4</v>
      </c>
      <c r="Q1078">
        <v>0</v>
      </c>
      <c r="R1078">
        <v>63.6</v>
      </c>
      <c r="S1078">
        <v>0</v>
      </c>
      <c r="T1078">
        <v>0</v>
      </c>
      <c r="U1078">
        <v>0</v>
      </c>
      <c r="V1078">
        <v>0</v>
      </c>
      <c r="X1078">
        <v>63.6</v>
      </c>
    </row>
    <row r="1079" spans="1:24" ht="15">
      <c r="A1079">
        <v>1072</v>
      </c>
      <c r="B1079">
        <v>63082</v>
      </c>
      <c r="C1079" t="s">
        <v>483</v>
      </c>
      <c r="D1079" t="s">
        <v>484</v>
      </c>
      <c r="E1079" t="s">
        <v>53</v>
      </c>
      <c r="F1079" t="str">
        <f>"00320519"</f>
        <v>00320519</v>
      </c>
      <c r="G1079">
        <v>21.58</v>
      </c>
      <c r="H1079">
        <v>7</v>
      </c>
      <c r="I1079">
        <v>0</v>
      </c>
      <c r="J1079">
        <v>28</v>
      </c>
      <c r="K1079">
        <v>28</v>
      </c>
      <c r="N1079">
        <v>3</v>
      </c>
      <c r="O1079">
        <v>3</v>
      </c>
      <c r="P1079">
        <v>4</v>
      </c>
      <c r="Q1079">
        <v>0</v>
      </c>
      <c r="R1079">
        <v>63.58</v>
      </c>
      <c r="S1079">
        <v>0</v>
      </c>
      <c r="T1079">
        <v>0</v>
      </c>
      <c r="U1079">
        <v>0</v>
      </c>
      <c r="V1079">
        <v>0</v>
      </c>
      <c r="X1079">
        <v>63.58</v>
      </c>
    </row>
    <row r="1080" spans="1:24" ht="15">
      <c r="A1080">
        <v>1073</v>
      </c>
      <c r="B1080">
        <v>38624</v>
      </c>
      <c r="C1080" t="s">
        <v>487</v>
      </c>
      <c r="D1080" t="s">
        <v>29</v>
      </c>
      <c r="E1080" t="s">
        <v>12</v>
      </c>
      <c r="F1080" t="str">
        <f>"00369265"</f>
        <v>00369265</v>
      </c>
      <c r="G1080">
        <v>18.5</v>
      </c>
      <c r="H1080">
        <v>0</v>
      </c>
      <c r="I1080">
        <v>0</v>
      </c>
      <c r="J1080">
        <v>28</v>
      </c>
      <c r="K1080">
        <v>28</v>
      </c>
      <c r="L1080">
        <v>7</v>
      </c>
      <c r="O1080">
        <v>7</v>
      </c>
      <c r="P1080">
        <v>4</v>
      </c>
      <c r="Q1080">
        <v>0</v>
      </c>
      <c r="R1080">
        <v>57.5</v>
      </c>
      <c r="S1080">
        <v>0</v>
      </c>
      <c r="T1080">
        <v>0</v>
      </c>
      <c r="U1080">
        <v>6</v>
      </c>
      <c r="V1080">
        <v>0</v>
      </c>
      <c r="X1080">
        <v>63.5</v>
      </c>
    </row>
    <row r="1081" spans="1:24" ht="15">
      <c r="A1081">
        <v>1074</v>
      </c>
      <c r="B1081">
        <v>89778</v>
      </c>
      <c r="C1081" t="s">
        <v>117</v>
      </c>
      <c r="D1081" t="s">
        <v>66</v>
      </c>
      <c r="E1081" t="s">
        <v>118</v>
      </c>
      <c r="F1081" t="str">
        <f>"00635781"</f>
        <v>00635781</v>
      </c>
      <c r="G1081">
        <v>21.23</v>
      </c>
      <c r="H1081">
        <v>0</v>
      </c>
      <c r="I1081">
        <v>0</v>
      </c>
      <c r="J1081">
        <v>20</v>
      </c>
      <c r="K1081">
        <v>20</v>
      </c>
      <c r="L1081">
        <v>7</v>
      </c>
      <c r="M1081">
        <v>5</v>
      </c>
      <c r="O1081">
        <v>12</v>
      </c>
      <c r="P1081">
        <v>4</v>
      </c>
      <c r="Q1081">
        <v>0</v>
      </c>
      <c r="R1081">
        <v>57.23</v>
      </c>
      <c r="S1081">
        <v>0</v>
      </c>
      <c r="T1081">
        <v>0</v>
      </c>
      <c r="U1081">
        <v>6</v>
      </c>
      <c r="V1081">
        <v>0</v>
      </c>
      <c r="X1081">
        <v>63.23</v>
      </c>
    </row>
    <row r="1082" spans="1:24" ht="15">
      <c r="A1082">
        <v>1075</v>
      </c>
      <c r="B1082">
        <v>100420</v>
      </c>
      <c r="C1082" t="s">
        <v>491</v>
      </c>
      <c r="D1082" t="s">
        <v>492</v>
      </c>
      <c r="E1082" t="s">
        <v>493</v>
      </c>
      <c r="F1082" t="str">
        <f>"00075783"</f>
        <v>00075783</v>
      </c>
      <c r="G1082">
        <v>21.18</v>
      </c>
      <c r="H1082">
        <v>0</v>
      </c>
      <c r="I1082">
        <v>0</v>
      </c>
      <c r="J1082">
        <v>28</v>
      </c>
      <c r="K1082">
        <v>28</v>
      </c>
      <c r="L1082">
        <v>7</v>
      </c>
      <c r="N1082">
        <v>3</v>
      </c>
      <c r="O1082">
        <v>10</v>
      </c>
      <c r="P1082">
        <v>4</v>
      </c>
      <c r="Q1082">
        <v>0</v>
      </c>
      <c r="R1082">
        <v>63.18</v>
      </c>
      <c r="S1082">
        <v>0</v>
      </c>
      <c r="T1082">
        <v>0</v>
      </c>
      <c r="U1082">
        <v>0</v>
      </c>
      <c r="V1082">
        <v>0</v>
      </c>
      <c r="X1082">
        <v>63.18</v>
      </c>
    </row>
    <row r="1083" spans="1:24" ht="15">
      <c r="A1083">
        <v>1076</v>
      </c>
      <c r="B1083">
        <v>71006</v>
      </c>
      <c r="C1083" t="s">
        <v>497</v>
      </c>
      <c r="D1083" t="s">
        <v>335</v>
      </c>
      <c r="E1083" t="s">
        <v>106</v>
      </c>
      <c r="F1083" t="str">
        <f>"00618959"</f>
        <v>00618959</v>
      </c>
      <c r="G1083">
        <v>17.05</v>
      </c>
      <c r="H1083">
        <v>0</v>
      </c>
      <c r="I1083">
        <v>0</v>
      </c>
      <c r="J1083">
        <v>28</v>
      </c>
      <c r="K1083">
        <v>28</v>
      </c>
      <c r="M1083">
        <v>5</v>
      </c>
      <c r="N1083">
        <v>3</v>
      </c>
      <c r="O1083">
        <v>8</v>
      </c>
      <c r="P1083">
        <v>4</v>
      </c>
      <c r="Q1083">
        <v>0</v>
      </c>
      <c r="R1083">
        <v>57.05</v>
      </c>
      <c r="S1083">
        <v>0</v>
      </c>
      <c r="T1083">
        <v>0</v>
      </c>
      <c r="U1083">
        <v>6</v>
      </c>
      <c r="V1083">
        <v>0</v>
      </c>
      <c r="X1083">
        <v>63.05</v>
      </c>
    </row>
    <row r="1084" spans="1:24" ht="15">
      <c r="A1084">
        <v>1077</v>
      </c>
      <c r="B1084">
        <v>40302</v>
      </c>
      <c r="C1084" t="s">
        <v>498</v>
      </c>
      <c r="D1084" t="s">
        <v>75</v>
      </c>
      <c r="E1084" t="s">
        <v>106</v>
      </c>
      <c r="F1084" t="str">
        <f>"00521090"</f>
        <v>00521090</v>
      </c>
      <c r="G1084">
        <v>21.03</v>
      </c>
      <c r="H1084">
        <v>7</v>
      </c>
      <c r="I1084">
        <v>0</v>
      </c>
      <c r="J1084">
        <v>20</v>
      </c>
      <c r="K1084">
        <v>20</v>
      </c>
      <c r="N1084">
        <v>3</v>
      </c>
      <c r="O1084">
        <v>3</v>
      </c>
      <c r="P1084">
        <v>4</v>
      </c>
      <c r="Q1084">
        <v>2</v>
      </c>
      <c r="R1084">
        <v>57.03</v>
      </c>
      <c r="S1084">
        <v>0</v>
      </c>
      <c r="T1084">
        <v>0</v>
      </c>
      <c r="U1084">
        <v>6</v>
      </c>
      <c r="V1084">
        <v>0</v>
      </c>
      <c r="X1084">
        <v>63.03</v>
      </c>
    </row>
    <row r="1085" spans="1:24" ht="15">
      <c r="A1085">
        <v>1078</v>
      </c>
      <c r="B1085">
        <v>19248</v>
      </c>
      <c r="C1085" t="s">
        <v>502</v>
      </c>
      <c r="D1085" t="s">
        <v>503</v>
      </c>
      <c r="E1085" t="s">
        <v>21</v>
      </c>
      <c r="F1085" t="str">
        <f>"00602472"</f>
        <v>00602472</v>
      </c>
      <c r="G1085">
        <v>22</v>
      </c>
      <c r="H1085">
        <v>0</v>
      </c>
      <c r="I1085">
        <v>0</v>
      </c>
      <c r="J1085">
        <v>28</v>
      </c>
      <c r="K1085">
        <v>28</v>
      </c>
      <c r="L1085">
        <v>7</v>
      </c>
      <c r="O1085">
        <v>7</v>
      </c>
      <c r="P1085">
        <v>0</v>
      </c>
      <c r="Q1085">
        <v>0</v>
      </c>
      <c r="R1085">
        <v>57</v>
      </c>
      <c r="S1085">
        <v>0</v>
      </c>
      <c r="T1085">
        <v>0</v>
      </c>
      <c r="U1085">
        <v>6</v>
      </c>
      <c r="V1085">
        <v>0</v>
      </c>
      <c r="X1085">
        <v>63</v>
      </c>
    </row>
    <row r="1086" spans="1:24" ht="15">
      <c r="A1086">
        <v>1079</v>
      </c>
      <c r="B1086">
        <v>99868</v>
      </c>
      <c r="C1086" t="s">
        <v>504</v>
      </c>
      <c r="D1086" t="s">
        <v>505</v>
      </c>
      <c r="E1086" t="s">
        <v>465</v>
      </c>
      <c r="F1086" t="str">
        <f>"201411001628"</f>
        <v>201411001628</v>
      </c>
      <c r="G1086">
        <v>18.9</v>
      </c>
      <c r="H1086">
        <v>0</v>
      </c>
      <c r="I1086">
        <v>0</v>
      </c>
      <c r="J1086">
        <v>28</v>
      </c>
      <c r="K1086">
        <v>28</v>
      </c>
      <c r="L1086">
        <v>7</v>
      </c>
      <c r="M1086">
        <v>5</v>
      </c>
      <c r="O1086">
        <v>12</v>
      </c>
      <c r="P1086">
        <v>4</v>
      </c>
      <c r="Q1086">
        <v>0</v>
      </c>
      <c r="R1086">
        <v>62.9</v>
      </c>
      <c r="S1086">
        <v>0</v>
      </c>
      <c r="T1086">
        <v>0</v>
      </c>
      <c r="U1086">
        <v>0</v>
      </c>
      <c r="V1086">
        <v>0</v>
      </c>
      <c r="X1086">
        <v>62.9</v>
      </c>
    </row>
    <row r="1087" spans="1:24" ht="15">
      <c r="A1087">
        <v>1080</v>
      </c>
      <c r="B1087">
        <v>82185</v>
      </c>
      <c r="C1087" t="s">
        <v>511</v>
      </c>
      <c r="D1087" t="s">
        <v>512</v>
      </c>
      <c r="E1087" t="s">
        <v>124</v>
      </c>
      <c r="F1087" t="str">
        <f>"201504005010"</f>
        <v>201504005010</v>
      </c>
      <c r="G1087">
        <v>17.78</v>
      </c>
      <c r="H1087">
        <v>0</v>
      </c>
      <c r="I1087">
        <v>0</v>
      </c>
      <c r="J1087">
        <v>28</v>
      </c>
      <c r="K1087">
        <v>28</v>
      </c>
      <c r="L1087">
        <v>7</v>
      </c>
      <c r="N1087">
        <v>3</v>
      </c>
      <c r="O1087">
        <v>10</v>
      </c>
      <c r="P1087">
        <v>4</v>
      </c>
      <c r="Q1087">
        <v>0</v>
      </c>
      <c r="R1087">
        <v>59.78</v>
      </c>
      <c r="S1087">
        <v>0</v>
      </c>
      <c r="T1087">
        <v>0</v>
      </c>
      <c r="U1087">
        <v>3</v>
      </c>
      <c r="V1087">
        <v>0</v>
      </c>
      <c r="X1087">
        <v>62.78</v>
      </c>
    </row>
    <row r="1088" spans="1:24" ht="15">
      <c r="A1088">
        <v>1081</v>
      </c>
      <c r="B1088">
        <v>75836</v>
      </c>
      <c r="C1088" t="s">
        <v>487</v>
      </c>
      <c r="D1088" t="s">
        <v>513</v>
      </c>
      <c r="E1088" t="s">
        <v>514</v>
      </c>
      <c r="F1088" t="str">
        <f>"200712001276"</f>
        <v>200712001276</v>
      </c>
      <c r="G1088">
        <v>17.73</v>
      </c>
      <c r="H1088">
        <v>0</v>
      </c>
      <c r="I1088">
        <v>0</v>
      </c>
      <c r="J1088">
        <v>28</v>
      </c>
      <c r="K1088">
        <v>28</v>
      </c>
      <c r="L1088">
        <v>7</v>
      </c>
      <c r="O1088">
        <v>7</v>
      </c>
      <c r="P1088">
        <v>4</v>
      </c>
      <c r="Q1088">
        <v>0</v>
      </c>
      <c r="R1088">
        <v>56.73</v>
      </c>
      <c r="S1088">
        <v>0</v>
      </c>
      <c r="T1088">
        <v>0</v>
      </c>
      <c r="U1088">
        <v>6</v>
      </c>
      <c r="V1088">
        <v>0</v>
      </c>
      <c r="X1088">
        <v>62.73</v>
      </c>
    </row>
    <row r="1089" spans="1:24" ht="15">
      <c r="A1089">
        <v>1082</v>
      </c>
      <c r="B1089">
        <v>74037</v>
      </c>
      <c r="C1089" t="s">
        <v>517</v>
      </c>
      <c r="D1089" t="s">
        <v>518</v>
      </c>
      <c r="E1089" t="s">
        <v>519</v>
      </c>
      <c r="F1089" t="str">
        <f>"00642889"</f>
        <v>00642889</v>
      </c>
      <c r="G1089">
        <v>20.63</v>
      </c>
      <c r="H1089">
        <v>0</v>
      </c>
      <c r="I1089">
        <v>0</v>
      </c>
      <c r="J1089">
        <v>28</v>
      </c>
      <c r="K1089">
        <v>28</v>
      </c>
      <c r="L1089">
        <v>7</v>
      </c>
      <c r="N1089">
        <v>3</v>
      </c>
      <c r="O1089">
        <v>10</v>
      </c>
      <c r="P1089">
        <v>4</v>
      </c>
      <c r="Q1089">
        <v>0</v>
      </c>
      <c r="R1089">
        <v>62.63</v>
      </c>
      <c r="S1089">
        <v>0</v>
      </c>
      <c r="T1089">
        <v>0</v>
      </c>
      <c r="U1089">
        <v>0</v>
      </c>
      <c r="V1089">
        <v>0</v>
      </c>
      <c r="X1089">
        <v>62.63</v>
      </c>
    </row>
    <row r="1090" spans="1:24" ht="15">
      <c r="A1090">
        <v>1083</v>
      </c>
      <c r="B1090">
        <v>56858</v>
      </c>
      <c r="C1090" t="s">
        <v>520</v>
      </c>
      <c r="D1090" t="s">
        <v>17</v>
      </c>
      <c r="E1090" t="s">
        <v>76</v>
      </c>
      <c r="F1090" t="str">
        <f>"201412006274"</f>
        <v>201412006274</v>
      </c>
      <c r="G1090">
        <v>18.63</v>
      </c>
      <c r="H1090">
        <v>0</v>
      </c>
      <c r="I1090">
        <v>0</v>
      </c>
      <c r="J1090">
        <v>28</v>
      </c>
      <c r="K1090">
        <v>28</v>
      </c>
      <c r="L1090">
        <v>7</v>
      </c>
      <c r="M1090">
        <v>5</v>
      </c>
      <c r="O1090">
        <v>12</v>
      </c>
      <c r="P1090">
        <v>4</v>
      </c>
      <c r="Q1090">
        <v>0</v>
      </c>
      <c r="R1090">
        <v>62.63</v>
      </c>
      <c r="S1090">
        <v>0</v>
      </c>
      <c r="T1090">
        <v>0</v>
      </c>
      <c r="U1090">
        <v>0</v>
      </c>
      <c r="V1090">
        <v>0</v>
      </c>
      <c r="X1090">
        <v>62.63</v>
      </c>
    </row>
    <row r="1091" spans="1:24" ht="15">
      <c r="A1091">
        <v>1084</v>
      </c>
      <c r="B1091">
        <v>80943</v>
      </c>
      <c r="C1091" t="s">
        <v>523</v>
      </c>
      <c r="D1091" t="s">
        <v>69</v>
      </c>
      <c r="E1091" t="s">
        <v>17</v>
      </c>
      <c r="F1091" t="str">
        <f>"00632681"</f>
        <v>00632681</v>
      </c>
      <c r="G1091">
        <v>19.5</v>
      </c>
      <c r="H1091">
        <v>0</v>
      </c>
      <c r="I1091">
        <v>0</v>
      </c>
      <c r="J1091">
        <v>28</v>
      </c>
      <c r="K1091">
        <v>28</v>
      </c>
      <c r="L1091">
        <v>7</v>
      </c>
      <c r="M1091">
        <v>5</v>
      </c>
      <c r="O1091">
        <v>12</v>
      </c>
      <c r="P1091">
        <v>0</v>
      </c>
      <c r="Q1091">
        <v>0</v>
      </c>
      <c r="R1091">
        <v>59.5</v>
      </c>
      <c r="S1091">
        <v>0</v>
      </c>
      <c r="T1091">
        <v>0</v>
      </c>
      <c r="U1091">
        <v>3</v>
      </c>
      <c r="V1091">
        <v>0</v>
      </c>
      <c r="X1091">
        <v>62.5</v>
      </c>
    </row>
    <row r="1092" spans="1:24" ht="15">
      <c r="A1092">
        <v>1085</v>
      </c>
      <c r="B1092">
        <v>2640</v>
      </c>
      <c r="C1092" t="s">
        <v>526</v>
      </c>
      <c r="D1092" t="s">
        <v>527</v>
      </c>
      <c r="E1092" t="s">
        <v>21</v>
      </c>
      <c r="F1092" t="str">
        <f>"00467634"</f>
        <v>00467634</v>
      </c>
      <c r="G1092">
        <v>16.33</v>
      </c>
      <c r="H1092">
        <v>0</v>
      </c>
      <c r="I1092">
        <v>0</v>
      </c>
      <c r="J1092">
        <v>28</v>
      </c>
      <c r="K1092">
        <v>28</v>
      </c>
      <c r="L1092">
        <v>14</v>
      </c>
      <c r="O1092">
        <v>14</v>
      </c>
      <c r="P1092">
        <v>4</v>
      </c>
      <c r="Q1092">
        <v>0</v>
      </c>
      <c r="R1092">
        <v>62.33</v>
      </c>
      <c r="S1092">
        <v>0</v>
      </c>
      <c r="T1092">
        <v>0</v>
      </c>
      <c r="U1092">
        <v>0</v>
      </c>
      <c r="V1092">
        <v>0</v>
      </c>
      <c r="X1092">
        <v>62.33</v>
      </c>
    </row>
    <row r="1093" spans="1:24" ht="15">
      <c r="A1093">
        <v>1086</v>
      </c>
      <c r="B1093">
        <v>110100</v>
      </c>
      <c r="C1093" t="s">
        <v>528</v>
      </c>
      <c r="D1093" t="s">
        <v>35</v>
      </c>
      <c r="E1093" t="s">
        <v>30</v>
      </c>
      <c r="F1093" t="str">
        <f>"00639900"</f>
        <v>00639900</v>
      </c>
      <c r="G1093">
        <v>17.28</v>
      </c>
      <c r="H1093">
        <v>0</v>
      </c>
      <c r="I1093">
        <v>0</v>
      </c>
      <c r="J1093">
        <v>28</v>
      </c>
      <c r="K1093">
        <v>28</v>
      </c>
      <c r="L1093">
        <v>7</v>
      </c>
      <c r="O1093">
        <v>7</v>
      </c>
      <c r="P1093">
        <v>4</v>
      </c>
      <c r="Q1093">
        <v>0</v>
      </c>
      <c r="R1093">
        <v>56.28</v>
      </c>
      <c r="S1093">
        <v>0</v>
      </c>
      <c r="T1093">
        <v>0</v>
      </c>
      <c r="U1093">
        <v>6</v>
      </c>
      <c r="V1093">
        <v>0</v>
      </c>
      <c r="X1093">
        <v>62.28</v>
      </c>
    </row>
    <row r="1094" spans="1:24" ht="15">
      <c r="A1094">
        <v>1087</v>
      </c>
      <c r="B1094">
        <v>75520</v>
      </c>
      <c r="C1094" t="s">
        <v>529</v>
      </c>
      <c r="D1094" t="s">
        <v>16</v>
      </c>
      <c r="E1094" t="s">
        <v>21</v>
      </c>
      <c r="F1094" t="str">
        <f>"200808000219"</f>
        <v>200808000219</v>
      </c>
      <c r="G1094">
        <v>21.25</v>
      </c>
      <c r="H1094">
        <v>0</v>
      </c>
      <c r="I1094">
        <v>0</v>
      </c>
      <c r="J1094">
        <v>28</v>
      </c>
      <c r="K1094">
        <v>28</v>
      </c>
      <c r="N1094">
        <v>6</v>
      </c>
      <c r="O1094">
        <v>6</v>
      </c>
      <c r="P1094">
        <v>4</v>
      </c>
      <c r="Q1094">
        <v>0</v>
      </c>
      <c r="R1094">
        <v>59.25</v>
      </c>
      <c r="S1094">
        <v>0</v>
      </c>
      <c r="T1094">
        <v>0</v>
      </c>
      <c r="U1094">
        <v>3</v>
      </c>
      <c r="V1094">
        <v>0</v>
      </c>
      <c r="X1094">
        <v>62.25</v>
      </c>
    </row>
    <row r="1095" spans="1:24" ht="15">
      <c r="A1095">
        <v>1088</v>
      </c>
      <c r="B1095">
        <v>111755</v>
      </c>
      <c r="C1095" t="s">
        <v>531</v>
      </c>
      <c r="D1095" t="s">
        <v>41</v>
      </c>
      <c r="E1095" t="s">
        <v>360</v>
      </c>
      <c r="F1095" t="str">
        <f>"201503000213"</f>
        <v>201503000213</v>
      </c>
      <c r="G1095">
        <v>21.23</v>
      </c>
      <c r="H1095">
        <v>0</v>
      </c>
      <c r="I1095">
        <v>0</v>
      </c>
      <c r="J1095">
        <v>28</v>
      </c>
      <c r="K1095">
        <v>28</v>
      </c>
      <c r="N1095">
        <v>3</v>
      </c>
      <c r="O1095">
        <v>3</v>
      </c>
      <c r="P1095">
        <v>4</v>
      </c>
      <c r="Q1095">
        <v>0</v>
      </c>
      <c r="R1095">
        <v>56.23</v>
      </c>
      <c r="S1095">
        <v>0</v>
      </c>
      <c r="T1095">
        <v>0</v>
      </c>
      <c r="U1095">
        <v>6</v>
      </c>
      <c r="V1095">
        <v>0</v>
      </c>
      <c r="X1095">
        <v>62.23</v>
      </c>
    </row>
    <row r="1096" spans="1:24" ht="15">
      <c r="A1096">
        <v>1089</v>
      </c>
      <c r="B1096">
        <v>43379</v>
      </c>
      <c r="C1096" t="s">
        <v>352</v>
      </c>
      <c r="D1096" t="s">
        <v>122</v>
      </c>
      <c r="E1096" t="s">
        <v>273</v>
      </c>
      <c r="F1096" t="str">
        <f>"201402007195"</f>
        <v>201402007195</v>
      </c>
      <c r="G1096">
        <v>20.2</v>
      </c>
      <c r="H1096">
        <v>0</v>
      </c>
      <c r="I1096">
        <v>0</v>
      </c>
      <c r="J1096">
        <v>28</v>
      </c>
      <c r="K1096">
        <v>28</v>
      </c>
      <c r="L1096">
        <v>7</v>
      </c>
      <c r="N1096">
        <v>3</v>
      </c>
      <c r="O1096">
        <v>10</v>
      </c>
      <c r="P1096">
        <v>4</v>
      </c>
      <c r="Q1096">
        <v>0</v>
      </c>
      <c r="R1096">
        <v>62.2</v>
      </c>
      <c r="S1096">
        <v>0</v>
      </c>
      <c r="T1096">
        <v>0</v>
      </c>
      <c r="U1096">
        <v>0</v>
      </c>
      <c r="V1096">
        <v>0</v>
      </c>
      <c r="X1096">
        <v>62.2</v>
      </c>
    </row>
    <row r="1097" spans="1:24" ht="15">
      <c r="A1097">
        <v>1090</v>
      </c>
      <c r="B1097">
        <v>5172</v>
      </c>
      <c r="C1097" t="s">
        <v>532</v>
      </c>
      <c r="D1097" t="s">
        <v>513</v>
      </c>
      <c r="E1097" t="s">
        <v>12</v>
      </c>
      <c r="F1097" t="str">
        <f>"201511033680"</f>
        <v>201511033680</v>
      </c>
      <c r="G1097">
        <v>20.18</v>
      </c>
      <c r="H1097">
        <v>0</v>
      </c>
      <c r="I1097">
        <v>0</v>
      </c>
      <c r="J1097">
        <v>28</v>
      </c>
      <c r="K1097">
        <v>28</v>
      </c>
      <c r="L1097">
        <v>7</v>
      </c>
      <c r="O1097">
        <v>7</v>
      </c>
      <c r="P1097">
        <v>4</v>
      </c>
      <c r="Q1097">
        <v>0</v>
      </c>
      <c r="R1097">
        <v>59.18</v>
      </c>
      <c r="S1097">
        <v>0</v>
      </c>
      <c r="T1097">
        <v>0</v>
      </c>
      <c r="U1097">
        <v>3</v>
      </c>
      <c r="V1097">
        <v>0</v>
      </c>
      <c r="X1097">
        <v>62.18</v>
      </c>
    </row>
    <row r="1098" spans="1:24" ht="15">
      <c r="A1098">
        <v>1091</v>
      </c>
      <c r="B1098">
        <v>57838</v>
      </c>
      <c r="C1098" t="s">
        <v>535</v>
      </c>
      <c r="D1098" t="s">
        <v>97</v>
      </c>
      <c r="E1098" t="s">
        <v>17</v>
      </c>
      <c r="F1098" t="str">
        <f>"201511025282"</f>
        <v>201511025282</v>
      </c>
      <c r="G1098">
        <v>21.05</v>
      </c>
      <c r="H1098">
        <v>0</v>
      </c>
      <c r="I1098">
        <v>0</v>
      </c>
      <c r="J1098">
        <v>20</v>
      </c>
      <c r="K1098">
        <v>20</v>
      </c>
      <c r="L1098">
        <v>14</v>
      </c>
      <c r="O1098">
        <v>14</v>
      </c>
      <c r="P1098">
        <v>4</v>
      </c>
      <c r="Q1098">
        <v>0</v>
      </c>
      <c r="R1098">
        <v>59.05</v>
      </c>
      <c r="S1098">
        <v>0</v>
      </c>
      <c r="T1098">
        <v>0</v>
      </c>
      <c r="U1098">
        <v>3</v>
      </c>
      <c r="V1098">
        <v>0</v>
      </c>
      <c r="X1098">
        <v>62.05</v>
      </c>
    </row>
    <row r="1099" spans="1:24" ht="15">
      <c r="A1099">
        <v>1092</v>
      </c>
      <c r="B1099">
        <v>112689</v>
      </c>
      <c r="C1099" t="s">
        <v>540</v>
      </c>
      <c r="D1099" t="s">
        <v>541</v>
      </c>
      <c r="E1099" t="s">
        <v>91</v>
      </c>
      <c r="F1099" t="str">
        <f>"00632814"</f>
        <v>00632814</v>
      </c>
      <c r="G1099">
        <v>19.8</v>
      </c>
      <c r="H1099">
        <v>0</v>
      </c>
      <c r="I1099">
        <v>0</v>
      </c>
      <c r="J1099">
        <v>28</v>
      </c>
      <c r="K1099">
        <v>28</v>
      </c>
      <c r="L1099">
        <v>7</v>
      </c>
      <c r="N1099">
        <v>3</v>
      </c>
      <c r="O1099">
        <v>10</v>
      </c>
      <c r="P1099">
        <v>4</v>
      </c>
      <c r="Q1099">
        <v>0</v>
      </c>
      <c r="R1099">
        <v>61.8</v>
      </c>
      <c r="S1099">
        <v>0</v>
      </c>
      <c r="T1099">
        <v>0</v>
      </c>
      <c r="U1099">
        <v>0</v>
      </c>
      <c r="V1099">
        <v>0</v>
      </c>
      <c r="X1099">
        <v>61.8</v>
      </c>
    </row>
    <row r="1100" spans="1:24" ht="15">
      <c r="A1100">
        <v>1093</v>
      </c>
      <c r="B1100">
        <v>104128</v>
      </c>
      <c r="C1100" t="s">
        <v>543</v>
      </c>
      <c r="D1100" t="s">
        <v>544</v>
      </c>
      <c r="E1100" t="s">
        <v>30</v>
      </c>
      <c r="F1100" t="str">
        <f>"201504002601"</f>
        <v>201504002601</v>
      </c>
      <c r="G1100">
        <v>22.68</v>
      </c>
      <c r="H1100">
        <v>0</v>
      </c>
      <c r="I1100">
        <v>0</v>
      </c>
      <c r="J1100">
        <v>20</v>
      </c>
      <c r="K1100">
        <v>20</v>
      </c>
      <c r="L1100">
        <v>7</v>
      </c>
      <c r="M1100">
        <v>5</v>
      </c>
      <c r="O1100">
        <v>12</v>
      </c>
      <c r="P1100">
        <v>4</v>
      </c>
      <c r="Q1100">
        <v>0</v>
      </c>
      <c r="R1100">
        <v>58.68</v>
      </c>
      <c r="S1100">
        <v>0</v>
      </c>
      <c r="T1100">
        <v>0</v>
      </c>
      <c r="U1100">
        <v>3</v>
      </c>
      <c r="V1100">
        <v>0</v>
      </c>
      <c r="X1100">
        <v>61.68</v>
      </c>
    </row>
    <row r="1101" spans="1:24" ht="15">
      <c r="A1101">
        <v>1094</v>
      </c>
      <c r="B1101">
        <v>84520</v>
      </c>
      <c r="C1101" t="s">
        <v>545</v>
      </c>
      <c r="D1101" t="s">
        <v>546</v>
      </c>
      <c r="E1101" t="s">
        <v>39</v>
      </c>
      <c r="F1101" t="str">
        <f>"00640446"</f>
        <v>00640446</v>
      </c>
      <c r="G1101">
        <v>19.68</v>
      </c>
      <c r="H1101">
        <v>7</v>
      </c>
      <c r="I1101">
        <v>0</v>
      </c>
      <c r="J1101">
        <v>28</v>
      </c>
      <c r="K1101">
        <v>28</v>
      </c>
      <c r="N1101">
        <v>3</v>
      </c>
      <c r="O1101">
        <v>3</v>
      </c>
      <c r="P1101">
        <v>4</v>
      </c>
      <c r="Q1101">
        <v>0</v>
      </c>
      <c r="R1101">
        <v>61.68</v>
      </c>
      <c r="S1101">
        <v>0</v>
      </c>
      <c r="T1101">
        <v>0</v>
      </c>
      <c r="U1101">
        <v>0</v>
      </c>
      <c r="V1101">
        <v>0</v>
      </c>
      <c r="X1101">
        <v>61.68</v>
      </c>
    </row>
    <row r="1102" spans="1:24" ht="15">
      <c r="A1102">
        <v>1095</v>
      </c>
      <c r="B1102">
        <v>91597</v>
      </c>
      <c r="C1102" t="s">
        <v>548</v>
      </c>
      <c r="D1102" t="s">
        <v>236</v>
      </c>
      <c r="E1102" t="s">
        <v>27</v>
      </c>
      <c r="F1102" t="str">
        <f>"00524968"</f>
        <v>00524968</v>
      </c>
      <c r="G1102">
        <v>20.63</v>
      </c>
      <c r="H1102">
        <v>7</v>
      </c>
      <c r="I1102">
        <v>0</v>
      </c>
      <c r="J1102">
        <v>20</v>
      </c>
      <c r="K1102">
        <v>20</v>
      </c>
      <c r="N1102">
        <v>6</v>
      </c>
      <c r="O1102">
        <v>6</v>
      </c>
      <c r="P1102">
        <v>0</v>
      </c>
      <c r="Q1102">
        <v>2</v>
      </c>
      <c r="R1102">
        <v>55.63</v>
      </c>
      <c r="S1102">
        <v>0</v>
      </c>
      <c r="T1102">
        <v>0</v>
      </c>
      <c r="U1102">
        <v>6</v>
      </c>
      <c r="V1102">
        <v>0</v>
      </c>
      <c r="X1102">
        <v>61.63</v>
      </c>
    </row>
    <row r="1103" spans="1:24" ht="15">
      <c r="A1103">
        <v>1096</v>
      </c>
      <c r="B1103">
        <v>51609</v>
      </c>
      <c r="C1103" t="s">
        <v>549</v>
      </c>
      <c r="D1103" t="s">
        <v>550</v>
      </c>
      <c r="E1103" t="s">
        <v>201</v>
      </c>
      <c r="F1103" t="str">
        <f>"00153949"</f>
        <v>00153949</v>
      </c>
      <c r="G1103">
        <v>22.6</v>
      </c>
      <c r="H1103">
        <v>0</v>
      </c>
      <c r="I1103">
        <v>0</v>
      </c>
      <c r="J1103">
        <v>28</v>
      </c>
      <c r="K1103">
        <v>28</v>
      </c>
      <c r="L1103">
        <v>7</v>
      </c>
      <c r="O1103">
        <v>7</v>
      </c>
      <c r="P1103">
        <v>4</v>
      </c>
      <c r="Q1103">
        <v>0</v>
      </c>
      <c r="R1103">
        <v>61.6</v>
      </c>
      <c r="S1103">
        <v>0</v>
      </c>
      <c r="T1103">
        <v>0</v>
      </c>
      <c r="U1103">
        <v>0</v>
      </c>
      <c r="V1103">
        <v>0</v>
      </c>
      <c r="X1103">
        <v>61.6</v>
      </c>
    </row>
    <row r="1104" spans="1:24" ht="15">
      <c r="A1104">
        <v>1097</v>
      </c>
      <c r="B1104">
        <v>78565</v>
      </c>
      <c r="C1104" t="s">
        <v>552</v>
      </c>
      <c r="D1104" t="s">
        <v>356</v>
      </c>
      <c r="E1104" t="s">
        <v>17</v>
      </c>
      <c r="F1104" t="str">
        <f>"200806000119"</f>
        <v>200806000119</v>
      </c>
      <c r="G1104">
        <v>21.53</v>
      </c>
      <c r="H1104">
        <v>0</v>
      </c>
      <c r="I1104">
        <v>0</v>
      </c>
      <c r="J1104">
        <v>20</v>
      </c>
      <c r="K1104">
        <v>20</v>
      </c>
      <c r="L1104">
        <v>7</v>
      </c>
      <c r="N1104">
        <v>3</v>
      </c>
      <c r="O1104">
        <v>10</v>
      </c>
      <c r="P1104">
        <v>4</v>
      </c>
      <c r="Q1104">
        <v>0</v>
      </c>
      <c r="R1104">
        <v>55.53</v>
      </c>
      <c r="S1104">
        <v>0</v>
      </c>
      <c r="T1104">
        <v>0</v>
      </c>
      <c r="U1104">
        <v>6</v>
      </c>
      <c r="V1104">
        <v>0</v>
      </c>
      <c r="X1104">
        <v>61.53</v>
      </c>
    </row>
    <row r="1105" spans="1:24" ht="15">
      <c r="A1105">
        <v>1098</v>
      </c>
      <c r="B1105">
        <v>55917</v>
      </c>
      <c r="C1105" t="s">
        <v>557</v>
      </c>
      <c r="D1105" t="s">
        <v>558</v>
      </c>
      <c r="E1105" t="s">
        <v>76</v>
      </c>
      <c r="F1105" t="str">
        <f>"00576459"</f>
        <v>00576459</v>
      </c>
      <c r="G1105">
        <v>20.43</v>
      </c>
      <c r="H1105">
        <v>0</v>
      </c>
      <c r="I1105">
        <v>0</v>
      </c>
      <c r="J1105">
        <v>28</v>
      </c>
      <c r="K1105">
        <v>28</v>
      </c>
      <c r="N1105">
        <v>6</v>
      </c>
      <c r="O1105">
        <v>6</v>
      </c>
      <c r="P1105">
        <v>4</v>
      </c>
      <c r="Q1105">
        <v>0</v>
      </c>
      <c r="R1105">
        <v>58.43</v>
      </c>
      <c r="S1105">
        <v>0</v>
      </c>
      <c r="T1105">
        <v>0</v>
      </c>
      <c r="U1105">
        <v>3</v>
      </c>
      <c r="V1105">
        <v>0</v>
      </c>
      <c r="X1105">
        <v>61.43</v>
      </c>
    </row>
    <row r="1106" spans="1:24" ht="15">
      <c r="A1106">
        <v>1099</v>
      </c>
      <c r="B1106">
        <v>80444</v>
      </c>
      <c r="C1106" t="s">
        <v>564</v>
      </c>
      <c r="D1106" t="s">
        <v>51</v>
      </c>
      <c r="E1106" t="s">
        <v>240</v>
      </c>
      <c r="F1106" t="str">
        <f>"00472242"</f>
        <v>00472242</v>
      </c>
      <c r="G1106">
        <v>22.18</v>
      </c>
      <c r="H1106">
        <v>0</v>
      </c>
      <c r="I1106">
        <v>0</v>
      </c>
      <c r="J1106">
        <v>28</v>
      </c>
      <c r="K1106">
        <v>28</v>
      </c>
      <c r="L1106">
        <v>7</v>
      </c>
      <c r="O1106">
        <v>7</v>
      </c>
      <c r="P1106">
        <v>4</v>
      </c>
      <c r="Q1106">
        <v>0</v>
      </c>
      <c r="R1106">
        <v>61.18</v>
      </c>
      <c r="S1106">
        <v>0</v>
      </c>
      <c r="T1106">
        <v>0</v>
      </c>
      <c r="U1106">
        <v>0</v>
      </c>
      <c r="V1106">
        <v>0</v>
      </c>
      <c r="X1106">
        <v>61.18</v>
      </c>
    </row>
    <row r="1107" spans="1:24" ht="15">
      <c r="A1107">
        <v>1100</v>
      </c>
      <c r="B1107">
        <v>27673</v>
      </c>
      <c r="C1107" t="s">
        <v>567</v>
      </c>
      <c r="D1107" t="s">
        <v>72</v>
      </c>
      <c r="E1107" t="s">
        <v>17</v>
      </c>
      <c r="F1107" t="str">
        <f>"00468634"</f>
        <v>00468634</v>
      </c>
      <c r="G1107">
        <v>19.13</v>
      </c>
      <c r="H1107">
        <v>0</v>
      </c>
      <c r="I1107">
        <v>0</v>
      </c>
      <c r="J1107">
        <v>28</v>
      </c>
      <c r="K1107">
        <v>28</v>
      </c>
      <c r="L1107">
        <v>7</v>
      </c>
      <c r="N1107">
        <v>3</v>
      </c>
      <c r="O1107">
        <v>10</v>
      </c>
      <c r="P1107">
        <v>4</v>
      </c>
      <c r="Q1107">
        <v>0</v>
      </c>
      <c r="R1107">
        <v>61.13</v>
      </c>
      <c r="S1107">
        <v>0</v>
      </c>
      <c r="T1107">
        <v>0</v>
      </c>
      <c r="U1107">
        <v>0</v>
      </c>
      <c r="V1107">
        <v>0</v>
      </c>
      <c r="X1107">
        <v>61.13</v>
      </c>
    </row>
    <row r="1108" spans="1:24" ht="15">
      <c r="A1108">
        <v>1101</v>
      </c>
      <c r="B1108">
        <v>81144</v>
      </c>
      <c r="C1108" t="s">
        <v>568</v>
      </c>
      <c r="D1108" t="s">
        <v>44</v>
      </c>
      <c r="E1108" t="s">
        <v>114</v>
      </c>
      <c r="F1108" t="str">
        <f>"00628010"</f>
        <v>00628010</v>
      </c>
      <c r="G1108">
        <v>17.28</v>
      </c>
      <c r="H1108">
        <v>7</v>
      </c>
      <c r="I1108">
        <v>0</v>
      </c>
      <c r="J1108">
        <v>0</v>
      </c>
      <c r="K1108">
        <v>0</v>
      </c>
      <c r="O1108">
        <v>0</v>
      </c>
      <c r="P1108">
        <v>4</v>
      </c>
      <c r="Q1108">
        <v>0</v>
      </c>
      <c r="R1108">
        <v>28.28</v>
      </c>
      <c r="S1108">
        <v>0</v>
      </c>
      <c r="T1108">
        <v>0</v>
      </c>
      <c r="U1108">
        <v>6</v>
      </c>
      <c r="V1108">
        <v>26.8</v>
      </c>
      <c r="X1108">
        <v>61.08</v>
      </c>
    </row>
    <row r="1109" spans="1:24" ht="15">
      <c r="A1109">
        <v>1102</v>
      </c>
      <c r="B1109">
        <v>76166</v>
      </c>
      <c r="C1109" t="s">
        <v>570</v>
      </c>
      <c r="D1109" t="s">
        <v>571</v>
      </c>
      <c r="E1109" t="s">
        <v>30</v>
      </c>
      <c r="F1109" t="str">
        <f>"201504002559"</f>
        <v>201504002559</v>
      </c>
      <c r="G1109">
        <v>17.08</v>
      </c>
      <c r="H1109">
        <v>0</v>
      </c>
      <c r="I1109">
        <v>0</v>
      </c>
      <c r="J1109">
        <v>28</v>
      </c>
      <c r="K1109">
        <v>28</v>
      </c>
      <c r="L1109">
        <v>7</v>
      </c>
      <c r="M1109">
        <v>5</v>
      </c>
      <c r="O1109">
        <v>12</v>
      </c>
      <c r="P1109">
        <v>4</v>
      </c>
      <c r="Q1109">
        <v>0</v>
      </c>
      <c r="R1109">
        <v>61.08</v>
      </c>
      <c r="S1109">
        <v>0</v>
      </c>
      <c r="T1109">
        <v>0</v>
      </c>
      <c r="U1109">
        <v>0</v>
      </c>
      <c r="V1109">
        <v>0</v>
      </c>
      <c r="X1109">
        <v>61.08</v>
      </c>
    </row>
    <row r="1110" spans="1:24" ht="15">
      <c r="A1110">
        <v>1103</v>
      </c>
      <c r="B1110">
        <v>2366</v>
      </c>
      <c r="C1110" t="s">
        <v>572</v>
      </c>
      <c r="D1110" t="s">
        <v>16</v>
      </c>
      <c r="E1110" t="s">
        <v>12</v>
      </c>
      <c r="F1110" t="str">
        <f>"00516430"</f>
        <v>00516430</v>
      </c>
      <c r="G1110">
        <v>22.05</v>
      </c>
      <c r="H1110">
        <v>0</v>
      </c>
      <c r="I1110">
        <v>0</v>
      </c>
      <c r="J1110">
        <v>28</v>
      </c>
      <c r="K1110">
        <v>28</v>
      </c>
      <c r="L1110">
        <v>7</v>
      </c>
      <c r="O1110">
        <v>7</v>
      </c>
      <c r="P1110">
        <v>4</v>
      </c>
      <c r="Q1110">
        <v>0</v>
      </c>
      <c r="R1110">
        <v>61.05</v>
      </c>
      <c r="S1110">
        <v>0</v>
      </c>
      <c r="T1110">
        <v>0</v>
      </c>
      <c r="U1110">
        <v>0</v>
      </c>
      <c r="V1110">
        <v>0</v>
      </c>
      <c r="X1110">
        <v>61.05</v>
      </c>
    </row>
    <row r="1111" spans="1:24" ht="15">
      <c r="A1111">
        <v>1104</v>
      </c>
      <c r="B1111">
        <v>75602</v>
      </c>
      <c r="C1111" t="s">
        <v>573</v>
      </c>
      <c r="D1111" t="s">
        <v>574</v>
      </c>
      <c r="E1111" t="s">
        <v>575</v>
      </c>
      <c r="F1111" t="str">
        <f>"201601001302"</f>
        <v>201601001302</v>
      </c>
      <c r="G1111">
        <v>20</v>
      </c>
      <c r="H1111">
        <v>0</v>
      </c>
      <c r="I1111">
        <v>0</v>
      </c>
      <c r="J1111">
        <v>28</v>
      </c>
      <c r="K1111">
        <v>28</v>
      </c>
      <c r="N1111">
        <v>6</v>
      </c>
      <c r="O1111">
        <v>6</v>
      </c>
      <c r="P1111">
        <v>4</v>
      </c>
      <c r="Q1111">
        <v>0</v>
      </c>
      <c r="R1111">
        <v>58</v>
      </c>
      <c r="S1111">
        <v>0</v>
      </c>
      <c r="T1111">
        <v>0</v>
      </c>
      <c r="U1111">
        <v>3</v>
      </c>
      <c r="V1111">
        <v>0</v>
      </c>
      <c r="X1111">
        <v>61</v>
      </c>
    </row>
    <row r="1112" spans="1:24" ht="15">
      <c r="A1112">
        <v>1105</v>
      </c>
      <c r="B1112">
        <v>97830</v>
      </c>
      <c r="C1112" t="s">
        <v>584</v>
      </c>
      <c r="D1112" t="s">
        <v>75</v>
      </c>
      <c r="E1112" t="s">
        <v>177</v>
      </c>
      <c r="F1112" t="str">
        <f>"00619571"</f>
        <v>00619571</v>
      </c>
      <c r="G1112">
        <v>18.88</v>
      </c>
      <c r="H1112">
        <v>0</v>
      </c>
      <c r="I1112">
        <v>0</v>
      </c>
      <c r="J1112">
        <v>28</v>
      </c>
      <c r="K1112">
        <v>28</v>
      </c>
      <c r="L1112">
        <v>7</v>
      </c>
      <c r="N1112">
        <v>3</v>
      </c>
      <c r="O1112">
        <v>10</v>
      </c>
      <c r="P1112">
        <v>4</v>
      </c>
      <c r="Q1112">
        <v>0</v>
      </c>
      <c r="R1112">
        <v>60.88</v>
      </c>
      <c r="S1112">
        <v>0</v>
      </c>
      <c r="T1112">
        <v>0</v>
      </c>
      <c r="U1112">
        <v>0</v>
      </c>
      <c r="V1112">
        <v>0</v>
      </c>
      <c r="X1112">
        <v>60.88</v>
      </c>
    </row>
    <row r="1113" spans="1:24" ht="15">
      <c r="A1113">
        <v>1106</v>
      </c>
      <c r="B1113">
        <v>73904</v>
      </c>
      <c r="C1113" t="s">
        <v>585</v>
      </c>
      <c r="D1113" t="s">
        <v>153</v>
      </c>
      <c r="E1113" t="s">
        <v>95</v>
      </c>
      <c r="F1113" t="str">
        <f>"201504004419"</f>
        <v>201504004419</v>
      </c>
      <c r="G1113">
        <v>19.85</v>
      </c>
      <c r="H1113">
        <v>0</v>
      </c>
      <c r="I1113">
        <v>0</v>
      </c>
      <c r="J1113">
        <v>28</v>
      </c>
      <c r="K1113">
        <v>28</v>
      </c>
      <c r="L1113">
        <v>7</v>
      </c>
      <c r="O1113">
        <v>7</v>
      </c>
      <c r="P1113">
        <v>0</v>
      </c>
      <c r="Q1113">
        <v>0</v>
      </c>
      <c r="R1113">
        <v>54.85</v>
      </c>
      <c r="S1113">
        <v>0</v>
      </c>
      <c r="T1113">
        <v>0</v>
      </c>
      <c r="U1113">
        <v>6</v>
      </c>
      <c r="V1113">
        <v>0</v>
      </c>
      <c r="X1113">
        <v>60.85</v>
      </c>
    </row>
    <row r="1114" spans="1:24" ht="15">
      <c r="A1114">
        <v>1107</v>
      </c>
      <c r="B1114">
        <v>93562</v>
      </c>
      <c r="C1114" t="s">
        <v>586</v>
      </c>
      <c r="D1114" t="s">
        <v>296</v>
      </c>
      <c r="E1114" t="s">
        <v>587</v>
      </c>
      <c r="F1114" t="str">
        <f>"00356677"</f>
        <v>00356677</v>
      </c>
      <c r="G1114">
        <v>15.83</v>
      </c>
      <c r="H1114">
        <v>0</v>
      </c>
      <c r="I1114">
        <v>0</v>
      </c>
      <c r="J1114">
        <v>28</v>
      </c>
      <c r="K1114">
        <v>28</v>
      </c>
      <c r="L1114">
        <v>7</v>
      </c>
      <c r="O1114">
        <v>7</v>
      </c>
      <c r="P1114">
        <v>4</v>
      </c>
      <c r="Q1114">
        <v>0</v>
      </c>
      <c r="R1114">
        <v>54.83</v>
      </c>
      <c r="S1114">
        <v>0</v>
      </c>
      <c r="T1114">
        <v>0</v>
      </c>
      <c r="U1114">
        <v>6</v>
      </c>
      <c r="V1114">
        <v>0</v>
      </c>
      <c r="X1114">
        <v>60.83</v>
      </c>
    </row>
    <row r="1115" spans="1:24" ht="15">
      <c r="A1115">
        <v>1108</v>
      </c>
      <c r="B1115">
        <v>74620</v>
      </c>
      <c r="C1115" t="s">
        <v>588</v>
      </c>
      <c r="D1115" t="s">
        <v>589</v>
      </c>
      <c r="E1115" t="s">
        <v>30</v>
      </c>
      <c r="F1115" t="str">
        <f>"00456004"</f>
        <v>00456004</v>
      </c>
      <c r="G1115">
        <v>20.83</v>
      </c>
      <c r="H1115">
        <v>0</v>
      </c>
      <c r="I1115">
        <v>0</v>
      </c>
      <c r="J1115">
        <v>28</v>
      </c>
      <c r="K1115">
        <v>28</v>
      </c>
      <c r="M1115">
        <v>5</v>
      </c>
      <c r="O1115">
        <v>5</v>
      </c>
      <c r="P1115">
        <v>4</v>
      </c>
      <c r="Q1115">
        <v>0</v>
      </c>
      <c r="R1115">
        <v>57.83</v>
      </c>
      <c r="S1115">
        <v>3</v>
      </c>
      <c r="T1115">
        <v>3</v>
      </c>
      <c r="U1115">
        <v>0</v>
      </c>
      <c r="V1115">
        <v>0</v>
      </c>
      <c r="X1115">
        <v>60.83</v>
      </c>
    </row>
    <row r="1116" spans="1:24" ht="15">
      <c r="A1116">
        <v>1109</v>
      </c>
      <c r="B1116">
        <v>56969</v>
      </c>
      <c r="C1116" t="s">
        <v>590</v>
      </c>
      <c r="D1116" t="s">
        <v>591</v>
      </c>
      <c r="E1116" t="s">
        <v>139</v>
      </c>
      <c r="F1116" t="str">
        <f>"201412003715"</f>
        <v>201412003715</v>
      </c>
      <c r="G1116">
        <v>15.8</v>
      </c>
      <c r="H1116">
        <v>0</v>
      </c>
      <c r="I1116">
        <v>0</v>
      </c>
      <c r="J1116">
        <v>28</v>
      </c>
      <c r="K1116">
        <v>28</v>
      </c>
      <c r="L1116">
        <v>7</v>
      </c>
      <c r="N1116">
        <v>3</v>
      </c>
      <c r="O1116">
        <v>10</v>
      </c>
      <c r="P1116">
        <v>4</v>
      </c>
      <c r="Q1116">
        <v>0</v>
      </c>
      <c r="R1116">
        <v>57.8</v>
      </c>
      <c r="S1116">
        <v>0</v>
      </c>
      <c r="T1116">
        <v>0</v>
      </c>
      <c r="U1116">
        <v>3</v>
      </c>
      <c r="V1116">
        <v>0</v>
      </c>
      <c r="X1116">
        <v>60.8</v>
      </c>
    </row>
    <row r="1117" spans="1:24" ht="15">
      <c r="A1117">
        <v>1110</v>
      </c>
      <c r="B1117">
        <v>44291</v>
      </c>
      <c r="C1117" t="s">
        <v>593</v>
      </c>
      <c r="D1117" t="s">
        <v>27</v>
      </c>
      <c r="E1117" t="s">
        <v>288</v>
      </c>
      <c r="F1117" t="str">
        <f>"00011525"</f>
        <v>00011525</v>
      </c>
      <c r="G1117">
        <v>18.78</v>
      </c>
      <c r="H1117">
        <v>7</v>
      </c>
      <c r="I1117">
        <v>0</v>
      </c>
      <c r="J1117">
        <v>28</v>
      </c>
      <c r="K1117">
        <v>28</v>
      </c>
      <c r="N1117">
        <v>3</v>
      </c>
      <c r="O1117">
        <v>3</v>
      </c>
      <c r="P1117">
        <v>4</v>
      </c>
      <c r="Q1117">
        <v>0</v>
      </c>
      <c r="R1117">
        <v>60.78</v>
      </c>
      <c r="S1117">
        <v>0</v>
      </c>
      <c r="T1117">
        <v>0</v>
      </c>
      <c r="U1117">
        <v>0</v>
      </c>
      <c r="V1117">
        <v>0</v>
      </c>
      <c r="X1117">
        <v>60.78</v>
      </c>
    </row>
    <row r="1118" spans="1:24" ht="15">
      <c r="A1118">
        <v>1111</v>
      </c>
      <c r="B1118">
        <v>39398</v>
      </c>
      <c r="C1118" t="s">
        <v>594</v>
      </c>
      <c r="D1118" t="s">
        <v>50</v>
      </c>
      <c r="E1118" t="s">
        <v>27</v>
      </c>
      <c r="F1118" t="str">
        <f>"00020260"</f>
        <v>00020260</v>
      </c>
      <c r="G1118">
        <v>17.75</v>
      </c>
      <c r="H1118">
        <v>0</v>
      </c>
      <c r="I1118">
        <v>0</v>
      </c>
      <c r="J1118">
        <v>20</v>
      </c>
      <c r="K1118">
        <v>20</v>
      </c>
      <c r="L1118">
        <v>7</v>
      </c>
      <c r="N1118">
        <v>3</v>
      </c>
      <c r="O1118">
        <v>10</v>
      </c>
      <c r="P1118">
        <v>4</v>
      </c>
      <c r="Q1118">
        <v>0</v>
      </c>
      <c r="R1118">
        <v>51.75</v>
      </c>
      <c r="S1118">
        <v>0</v>
      </c>
      <c r="T1118">
        <v>0</v>
      </c>
      <c r="U1118">
        <v>9</v>
      </c>
      <c r="V1118">
        <v>0</v>
      </c>
      <c r="X1118">
        <v>60.75</v>
      </c>
    </row>
    <row r="1119" spans="1:24" ht="15">
      <c r="A1119">
        <v>1112</v>
      </c>
      <c r="B1119">
        <v>39867</v>
      </c>
      <c r="C1119" t="s">
        <v>596</v>
      </c>
      <c r="D1119" t="s">
        <v>75</v>
      </c>
      <c r="E1119" t="s">
        <v>21</v>
      </c>
      <c r="F1119" t="str">
        <f>"00425203"</f>
        <v>00425203</v>
      </c>
      <c r="G1119">
        <v>18.75</v>
      </c>
      <c r="H1119">
        <v>0</v>
      </c>
      <c r="I1119">
        <v>0</v>
      </c>
      <c r="J1119">
        <v>28</v>
      </c>
      <c r="K1119">
        <v>28</v>
      </c>
      <c r="L1119">
        <v>7</v>
      </c>
      <c r="N1119">
        <v>3</v>
      </c>
      <c r="O1119">
        <v>10</v>
      </c>
      <c r="P1119">
        <v>4</v>
      </c>
      <c r="Q1119">
        <v>0</v>
      </c>
      <c r="R1119">
        <v>60.75</v>
      </c>
      <c r="S1119">
        <v>0</v>
      </c>
      <c r="T1119">
        <v>0</v>
      </c>
      <c r="U1119">
        <v>0</v>
      </c>
      <c r="V1119">
        <v>0</v>
      </c>
      <c r="X1119">
        <v>60.75</v>
      </c>
    </row>
    <row r="1120" spans="1:24" ht="15">
      <c r="A1120">
        <v>1113</v>
      </c>
      <c r="B1120">
        <v>108154</v>
      </c>
      <c r="C1120" t="s">
        <v>598</v>
      </c>
      <c r="D1120" t="s">
        <v>372</v>
      </c>
      <c r="E1120" t="s">
        <v>120</v>
      </c>
      <c r="F1120" t="str">
        <f>"201410012818"</f>
        <v>201410012818</v>
      </c>
      <c r="G1120">
        <v>17.65</v>
      </c>
      <c r="H1120">
        <v>0</v>
      </c>
      <c r="I1120">
        <v>0</v>
      </c>
      <c r="J1120">
        <v>20</v>
      </c>
      <c r="K1120">
        <v>20</v>
      </c>
      <c r="L1120">
        <v>7</v>
      </c>
      <c r="N1120">
        <v>3</v>
      </c>
      <c r="O1120">
        <v>10</v>
      </c>
      <c r="P1120">
        <v>4</v>
      </c>
      <c r="Q1120">
        <v>0</v>
      </c>
      <c r="R1120">
        <v>51.65</v>
      </c>
      <c r="S1120">
        <v>0</v>
      </c>
      <c r="T1120">
        <v>0</v>
      </c>
      <c r="U1120">
        <v>9</v>
      </c>
      <c r="V1120">
        <v>0</v>
      </c>
      <c r="X1120">
        <v>60.65</v>
      </c>
    </row>
    <row r="1121" spans="1:24" ht="15">
      <c r="A1121">
        <v>1114</v>
      </c>
      <c r="B1121">
        <v>113800</v>
      </c>
      <c r="C1121" t="s">
        <v>600</v>
      </c>
      <c r="D1121" t="s">
        <v>601</v>
      </c>
      <c r="E1121" t="s">
        <v>44</v>
      </c>
      <c r="F1121" t="str">
        <f>"00626846"</f>
        <v>00626846</v>
      </c>
      <c r="G1121">
        <v>15.63</v>
      </c>
      <c r="H1121">
        <v>0</v>
      </c>
      <c r="I1121">
        <v>0</v>
      </c>
      <c r="J1121">
        <v>28</v>
      </c>
      <c r="K1121">
        <v>28</v>
      </c>
      <c r="L1121">
        <v>7</v>
      </c>
      <c r="N1121">
        <v>3</v>
      </c>
      <c r="O1121">
        <v>10</v>
      </c>
      <c r="P1121">
        <v>4</v>
      </c>
      <c r="Q1121">
        <v>0</v>
      </c>
      <c r="R1121">
        <v>57.63</v>
      </c>
      <c r="S1121">
        <v>0</v>
      </c>
      <c r="T1121">
        <v>0</v>
      </c>
      <c r="U1121">
        <v>3</v>
      </c>
      <c r="V1121">
        <v>0</v>
      </c>
      <c r="X1121">
        <v>60.63</v>
      </c>
    </row>
    <row r="1122" spans="1:24" ht="15">
      <c r="A1122">
        <v>1115</v>
      </c>
      <c r="B1122">
        <v>72165</v>
      </c>
      <c r="C1122" t="s">
        <v>605</v>
      </c>
      <c r="D1122" t="s">
        <v>289</v>
      </c>
      <c r="E1122" t="s">
        <v>21</v>
      </c>
      <c r="F1122" t="str">
        <f>"00020337"</f>
        <v>00020337</v>
      </c>
      <c r="G1122">
        <v>17.5</v>
      </c>
      <c r="H1122">
        <v>0</v>
      </c>
      <c r="I1122">
        <v>0</v>
      </c>
      <c r="J1122">
        <v>20</v>
      </c>
      <c r="K1122">
        <v>20</v>
      </c>
      <c r="L1122">
        <v>7</v>
      </c>
      <c r="O1122">
        <v>7</v>
      </c>
      <c r="P1122">
        <v>4</v>
      </c>
      <c r="Q1122">
        <v>0</v>
      </c>
      <c r="R1122">
        <v>48.5</v>
      </c>
      <c r="S1122">
        <v>0</v>
      </c>
      <c r="T1122">
        <v>0</v>
      </c>
      <c r="U1122">
        <v>12</v>
      </c>
      <c r="V1122">
        <v>0</v>
      </c>
      <c r="X1122">
        <v>60.5</v>
      </c>
    </row>
    <row r="1123" spans="1:24" ht="15">
      <c r="A1123">
        <v>1116</v>
      </c>
      <c r="B1123">
        <v>103451</v>
      </c>
      <c r="C1123" t="s">
        <v>606</v>
      </c>
      <c r="D1123" t="s">
        <v>16</v>
      </c>
      <c r="E1123" t="s">
        <v>17</v>
      </c>
      <c r="F1123" t="str">
        <f>"00548118"</f>
        <v>00548118</v>
      </c>
      <c r="G1123">
        <v>20.5</v>
      </c>
      <c r="H1123">
        <v>0</v>
      </c>
      <c r="I1123">
        <v>0</v>
      </c>
      <c r="J1123">
        <v>20</v>
      </c>
      <c r="K1123">
        <v>20</v>
      </c>
      <c r="L1123">
        <v>7</v>
      </c>
      <c r="N1123">
        <v>3</v>
      </c>
      <c r="O1123">
        <v>10</v>
      </c>
      <c r="P1123">
        <v>4</v>
      </c>
      <c r="Q1123">
        <v>0</v>
      </c>
      <c r="R1123">
        <v>54.5</v>
      </c>
      <c r="S1123">
        <v>0</v>
      </c>
      <c r="T1123">
        <v>0</v>
      </c>
      <c r="U1123">
        <v>6</v>
      </c>
      <c r="V1123">
        <v>0</v>
      </c>
      <c r="X1123">
        <v>60.5</v>
      </c>
    </row>
    <row r="1124" spans="1:24" ht="15">
      <c r="A1124">
        <v>1117</v>
      </c>
      <c r="B1124">
        <v>10728</v>
      </c>
      <c r="C1124" t="s">
        <v>616</v>
      </c>
      <c r="D1124" t="s">
        <v>168</v>
      </c>
      <c r="E1124" t="s">
        <v>617</v>
      </c>
      <c r="F1124" t="str">
        <f>"200804000794"</f>
        <v>200804000794</v>
      </c>
      <c r="G1124">
        <v>18.25</v>
      </c>
      <c r="H1124">
        <v>0</v>
      </c>
      <c r="I1124">
        <v>0</v>
      </c>
      <c r="J1124">
        <v>28</v>
      </c>
      <c r="K1124">
        <v>28</v>
      </c>
      <c r="L1124">
        <v>7</v>
      </c>
      <c r="N1124">
        <v>3</v>
      </c>
      <c r="O1124">
        <v>10</v>
      </c>
      <c r="P1124">
        <v>4</v>
      </c>
      <c r="Q1124">
        <v>0</v>
      </c>
      <c r="R1124">
        <v>60.25</v>
      </c>
      <c r="S1124">
        <v>0</v>
      </c>
      <c r="T1124">
        <v>0</v>
      </c>
      <c r="U1124">
        <v>0</v>
      </c>
      <c r="V1124">
        <v>0</v>
      </c>
      <c r="X1124">
        <v>60.25</v>
      </c>
    </row>
    <row r="1125" spans="1:24" ht="15">
      <c r="A1125">
        <v>1118</v>
      </c>
      <c r="B1125">
        <v>33736</v>
      </c>
      <c r="C1125" t="s">
        <v>618</v>
      </c>
      <c r="D1125" t="s">
        <v>619</v>
      </c>
      <c r="E1125" t="s">
        <v>124</v>
      </c>
      <c r="F1125" t="str">
        <f>"00079445"</f>
        <v>00079445</v>
      </c>
      <c r="G1125">
        <v>18.18</v>
      </c>
      <c r="H1125">
        <v>0</v>
      </c>
      <c r="I1125">
        <v>0</v>
      </c>
      <c r="J1125">
        <v>20</v>
      </c>
      <c r="K1125">
        <v>20</v>
      </c>
      <c r="L1125">
        <v>7</v>
      </c>
      <c r="M1125">
        <v>5</v>
      </c>
      <c r="O1125">
        <v>12</v>
      </c>
      <c r="P1125">
        <v>4</v>
      </c>
      <c r="Q1125">
        <v>0</v>
      </c>
      <c r="R1125">
        <v>54.18</v>
      </c>
      <c r="S1125">
        <v>0</v>
      </c>
      <c r="T1125">
        <v>0</v>
      </c>
      <c r="U1125">
        <v>6</v>
      </c>
      <c r="V1125">
        <v>0</v>
      </c>
      <c r="X1125">
        <v>60.18</v>
      </c>
    </row>
    <row r="1126" spans="1:24" ht="15">
      <c r="A1126">
        <v>1119</v>
      </c>
      <c r="B1126">
        <v>39399</v>
      </c>
      <c r="C1126" t="s">
        <v>620</v>
      </c>
      <c r="D1126" t="s">
        <v>12</v>
      </c>
      <c r="E1126" t="s">
        <v>80</v>
      </c>
      <c r="F1126" t="str">
        <f>"201201000043"</f>
        <v>201201000043</v>
      </c>
      <c r="G1126">
        <v>20.18</v>
      </c>
      <c r="H1126">
        <v>0</v>
      </c>
      <c r="I1126">
        <v>0</v>
      </c>
      <c r="J1126">
        <v>28</v>
      </c>
      <c r="K1126">
        <v>28</v>
      </c>
      <c r="M1126">
        <v>5</v>
      </c>
      <c r="O1126">
        <v>5</v>
      </c>
      <c r="P1126">
        <v>4</v>
      </c>
      <c r="Q1126">
        <v>0</v>
      </c>
      <c r="R1126">
        <v>57.18</v>
      </c>
      <c r="S1126">
        <v>0</v>
      </c>
      <c r="T1126">
        <v>0</v>
      </c>
      <c r="U1126">
        <v>3</v>
      </c>
      <c r="V1126">
        <v>0</v>
      </c>
      <c r="X1126">
        <v>60.18</v>
      </c>
    </row>
    <row r="1127" spans="1:24" ht="15">
      <c r="A1127">
        <v>1120</v>
      </c>
      <c r="B1127">
        <v>105867</v>
      </c>
      <c r="C1127" t="s">
        <v>623</v>
      </c>
      <c r="D1127" t="s">
        <v>27</v>
      </c>
      <c r="E1127" t="s">
        <v>17</v>
      </c>
      <c r="F1127" t="str">
        <f>"200812000510"</f>
        <v>200812000510</v>
      </c>
      <c r="G1127">
        <v>16.15</v>
      </c>
      <c r="H1127">
        <v>0</v>
      </c>
      <c r="I1127">
        <v>0</v>
      </c>
      <c r="J1127">
        <v>28</v>
      </c>
      <c r="K1127">
        <v>28</v>
      </c>
      <c r="N1127">
        <v>3</v>
      </c>
      <c r="O1127">
        <v>3</v>
      </c>
      <c r="P1127">
        <v>4</v>
      </c>
      <c r="Q1127">
        <v>0</v>
      </c>
      <c r="R1127">
        <v>51.15</v>
      </c>
      <c r="S1127">
        <v>0</v>
      </c>
      <c r="T1127">
        <v>0</v>
      </c>
      <c r="U1127">
        <v>9</v>
      </c>
      <c r="V1127">
        <v>0</v>
      </c>
      <c r="X1127">
        <v>60.15</v>
      </c>
    </row>
    <row r="1128" spans="1:24" ht="15">
      <c r="A1128">
        <v>1121</v>
      </c>
      <c r="B1128">
        <v>40682</v>
      </c>
      <c r="C1128" t="s">
        <v>473</v>
      </c>
      <c r="D1128" t="s">
        <v>236</v>
      </c>
      <c r="E1128" t="s">
        <v>76</v>
      </c>
      <c r="F1128" t="str">
        <f>"00140154"</f>
        <v>00140154</v>
      </c>
      <c r="G1128">
        <v>18.15</v>
      </c>
      <c r="H1128">
        <v>0</v>
      </c>
      <c r="I1128">
        <v>0</v>
      </c>
      <c r="J1128">
        <v>28</v>
      </c>
      <c r="K1128">
        <v>28</v>
      </c>
      <c r="L1128">
        <v>7</v>
      </c>
      <c r="N1128">
        <v>3</v>
      </c>
      <c r="O1128">
        <v>10</v>
      </c>
      <c r="P1128">
        <v>4</v>
      </c>
      <c r="Q1128">
        <v>0</v>
      </c>
      <c r="R1128">
        <v>60.15</v>
      </c>
      <c r="S1128">
        <v>0</v>
      </c>
      <c r="T1128">
        <v>0</v>
      </c>
      <c r="U1128">
        <v>0</v>
      </c>
      <c r="V1128">
        <v>0</v>
      </c>
      <c r="X1128">
        <v>60.15</v>
      </c>
    </row>
    <row r="1129" spans="1:24" ht="15">
      <c r="A1129">
        <v>1122</v>
      </c>
      <c r="B1129">
        <v>32333</v>
      </c>
      <c r="C1129" t="s">
        <v>624</v>
      </c>
      <c r="D1129" t="s">
        <v>153</v>
      </c>
      <c r="E1129" t="s">
        <v>23</v>
      </c>
      <c r="F1129" t="str">
        <f>"00619429"</f>
        <v>00619429</v>
      </c>
      <c r="G1129">
        <v>18.13</v>
      </c>
      <c r="H1129">
        <v>0</v>
      </c>
      <c r="I1129">
        <v>0</v>
      </c>
      <c r="J1129">
        <v>28</v>
      </c>
      <c r="K1129">
        <v>28</v>
      </c>
      <c r="L1129">
        <v>7</v>
      </c>
      <c r="O1129">
        <v>7</v>
      </c>
      <c r="P1129">
        <v>4</v>
      </c>
      <c r="Q1129">
        <v>0</v>
      </c>
      <c r="R1129">
        <v>57.13</v>
      </c>
      <c r="S1129">
        <v>0</v>
      </c>
      <c r="T1129">
        <v>0</v>
      </c>
      <c r="U1129">
        <v>3</v>
      </c>
      <c r="V1129">
        <v>0</v>
      </c>
      <c r="X1129">
        <v>60.13</v>
      </c>
    </row>
    <row r="1130" spans="1:24" ht="15">
      <c r="A1130">
        <v>1123</v>
      </c>
      <c r="B1130">
        <v>101174</v>
      </c>
      <c r="C1130" t="s">
        <v>625</v>
      </c>
      <c r="D1130" t="s">
        <v>16</v>
      </c>
      <c r="E1130" t="s">
        <v>113</v>
      </c>
      <c r="F1130" t="str">
        <f>"00648818"</f>
        <v>00648818</v>
      </c>
      <c r="G1130">
        <v>20.13</v>
      </c>
      <c r="H1130">
        <v>0</v>
      </c>
      <c r="I1130">
        <v>0</v>
      </c>
      <c r="J1130">
        <v>28</v>
      </c>
      <c r="K1130">
        <v>28</v>
      </c>
      <c r="L1130">
        <v>7</v>
      </c>
      <c r="M1130">
        <v>5</v>
      </c>
      <c r="O1130">
        <v>12</v>
      </c>
      <c r="P1130">
        <v>0</v>
      </c>
      <c r="Q1130">
        <v>0</v>
      </c>
      <c r="R1130">
        <v>60.13</v>
      </c>
      <c r="S1130">
        <v>0</v>
      </c>
      <c r="T1130">
        <v>0</v>
      </c>
      <c r="U1130">
        <v>0</v>
      </c>
      <c r="V1130">
        <v>0</v>
      </c>
      <c r="X1130">
        <v>60.13</v>
      </c>
    </row>
    <row r="1131" spans="1:24" ht="15">
      <c r="A1131">
        <v>1124</v>
      </c>
      <c r="B1131">
        <v>77541</v>
      </c>
      <c r="C1131" t="s">
        <v>626</v>
      </c>
      <c r="D1131" t="s">
        <v>30</v>
      </c>
      <c r="E1131" t="s">
        <v>27</v>
      </c>
      <c r="F1131" t="str">
        <f>"200801003055"</f>
        <v>200801003055</v>
      </c>
      <c r="G1131">
        <v>18.13</v>
      </c>
      <c r="H1131">
        <v>0</v>
      </c>
      <c r="I1131">
        <v>0</v>
      </c>
      <c r="J1131">
        <v>28</v>
      </c>
      <c r="K1131">
        <v>28</v>
      </c>
      <c r="L1131">
        <v>7</v>
      </c>
      <c r="N1131">
        <v>3</v>
      </c>
      <c r="O1131">
        <v>10</v>
      </c>
      <c r="P1131">
        <v>4</v>
      </c>
      <c r="Q1131">
        <v>0</v>
      </c>
      <c r="R1131">
        <v>60.13</v>
      </c>
      <c r="S1131">
        <v>0</v>
      </c>
      <c r="T1131">
        <v>0</v>
      </c>
      <c r="U1131">
        <v>0</v>
      </c>
      <c r="V1131">
        <v>0</v>
      </c>
      <c r="X1131">
        <v>60.13</v>
      </c>
    </row>
    <row r="1132" spans="1:24" ht="15">
      <c r="A1132">
        <v>1125</v>
      </c>
      <c r="B1132">
        <v>102318</v>
      </c>
      <c r="C1132" t="s">
        <v>627</v>
      </c>
      <c r="D1132" t="s">
        <v>29</v>
      </c>
      <c r="E1132" t="s">
        <v>23</v>
      </c>
      <c r="F1132" t="str">
        <f>"00465437"</f>
        <v>00465437</v>
      </c>
      <c r="G1132">
        <v>19.1</v>
      </c>
      <c r="H1132">
        <v>0</v>
      </c>
      <c r="I1132">
        <v>0</v>
      </c>
      <c r="J1132">
        <v>28</v>
      </c>
      <c r="K1132">
        <v>28</v>
      </c>
      <c r="N1132">
        <v>6</v>
      </c>
      <c r="O1132">
        <v>6</v>
      </c>
      <c r="P1132">
        <v>4</v>
      </c>
      <c r="Q1132">
        <v>0</v>
      </c>
      <c r="R1132">
        <v>57.1</v>
      </c>
      <c r="S1132">
        <v>0</v>
      </c>
      <c r="T1132">
        <v>0</v>
      </c>
      <c r="U1132">
        <v>3</v>
      </c>
      <c r="V1132">
        <v>0</v>
      </c>
      <c r="X1132">
        <v>60.1</v>
      </c>
    </row>
    <row r="1133" spans="1:24" ht="15">
      <c r="A1133">
        <v>1126</v>
      </c>
      <c r="B1133">
        <v>98312</v>
      </c>
      <c r="C1133" t="s">
        <v>628</v>
      </c>
      <c r="D1133" t="s">
        <v>629</v>
      </c>
      <c r="E1133" t="s">
        <v>12</v>
      </c>
      <c r="F1133" t="str">
        <f>"201504003608"</f>
        <v>201504003608</v>
      </c>
      <c r="G1133">
        <v>19.03</v>
      </c>
      <c r="H1133">
        <v>0</v>
      </c>
      <c r="I1133">
        <v>0</v>
      </c>
      <c r="J1133">
        <v>20</v>
      </c>
      <c r="K1133">
        <v>20</v>
      </c>
      <c r="L1133">
        <v>7</v>
      </c>
      <c r="M1133">
        <v>5</v>
      </c>
      <c r="O1133">
        <v>12</v>
      </c>
      <c r="P1133">
        <v>0</v>
      </c>
      <c r="Q1133">
        <v>0</v>
      </c>
      <c r="R1133">
        <v>51.03</v>
      </c>
      <c r="S1133">
        <v>0</v>
      </c>
      <c r="T1133">
        <v>0</v>
      </c>
      <c r="U1133">
        <v>9</v>
      </c>
      <c r="V1133">
        <v>0</v>
      </c>
      <c r="X1133">
        <v>60.03</v>
      </c>
    </row>
    <row r="1134" spans="1:24" ht="15">
      <c r="A1134">
        <v>1127</v>
      </c>
      <c r="B1134">
        <v>94183</v>
      </c>
      <c r="C1134" t="s">
        <v>631</v>
      </c>
      <c r="D1134" t="s">
        <v>30</v>
      </c>
      <c r="E1134" t="s">
        <v>27</v>
      </c>
      <c r="F1134" t="str">
        <f>"201412006322"</f>
        <v>201412006322</v>
      </c>
      <c r="G1134">
        <v>20.98</v>
      </c>
      <c r="H1134">
        <v>0</v>
      </c>
      <c r="I1134">
        <v>0</v>
      </c>
      <c r="J1134">
        <v>28</v>
      </c>
      <c r="K1134">
        <v>28</v>
      </c>
      <c r="L1134">
        <v>7</v>
      </c>
      <c r="O1134">
        <v>7</v>
      </c>
      <c r="P1134">
        <v>4</v>
      </c>
      <c r="Q1134">
        <v>0</v>
      </c>
      <c r="R1134">
        <v>59.98</v>
      </c>
      <c r="S1134">
        <v>0</v>
      </c>
      <c r="T1134">
        <v>0</v>
      </c>
      <c r="U1134">
        <v>0</v>
      </c>
      <c r="V1134">
        <v>0</v>
      </c>
      <c r="X1134">
        <v>59.98</v>
      </c>
    </row>
    <row r="1135" spans="1:24" ht="15">
      <c r="A1135">
        <v>1128</v>
      </c>
      <c r="B1135">
        <v>74307</v>
      </c>
      <c r="C1135" t="s">
        <v>633</v>
      </c>
      <c r="D1135" t="s">
        <v>17</v>
      </c>
      <c r="E1135" t="s">
        <v>469</v>
      </c>
      <c r="F1135" t="str">
        <f>"00076108"</f>
        <v>00076108</v>
      </c>
      <c r="G1135">
        <v>17.95</v>
      </c>
      <c r="H1135">
        <v>0</v>
      </c>
      <c r="I1135">
        <v>0</v>
      </c>
      <c r="J1135">
        <v>28</v>
      </c>
      <c r="K1135">
        <v>28</v>
      </c>
      <c r="L1135">
        <v>7</v>
      </c>
      <c r="O1135">
        <v>7</v>
      </c>
      <c r="P1135">
        <v>4</v>
      </c>
      <c r="Q1135">
        <v>0</v>
      </c>
      <c r="R1135">
        <v>56.95</v>
      </c>
      <c r="S1135">
        <v>0</v>
      </c>
      <c r="T1135">
        <v>0</v>
      </c>
      <c r="U1135">
        <v>3</v>
      </c>
      <c r="V1135">
        <v>0</v>
      </c>
      <c r="X1135">
        <v>59.95</v>
      </c>
    </row>
    <row r="1136" spans="1:24" ht="15">
      <c r="A1136">
        <v>1129</v>
      </c>
      <c r="B1136">
        <v>47513</v>
      </c>
      <c r="C1136" t="s">
        <v>635</v>
      </c>
      <c r="D1136" t="s">
        <v>29</v>
      </c>
      <c r="E1136" t="s">
        <v>30</v>
      </c>
      <c r="F1136" t="str">
        <f>"201406012221"</f>
        <v>201406012221</v>
      </c>
      <c r="G1136">
        <v>17.9</v>
      </c>
      <c r="H1136">
        <v>0</v>
      </c>
      <c r="I1136">
        <v>0</v>
      </c>
      <c r="J1136">
        <v>28</v>
      </c>
      <c r="K1136">
        <v>28</v>
      </c>
      <c r="L1136">
        <v>7</v>
      </c>
      <c r="O1136">
        <v>7</v>
      </c>
      <c r="P1136">
        <v>4</v>
      </c>
      <c r="Q1136">
        <v>0</v>
      </c>
      <c r="R1136">
        <v>56.9</v>
      </c>
      <c r="S1136">
        <v>0</v>
      </c>
      <c r="T1136">
        <v>0</v>
      </c>
      <c r="U1136">
        <v>3</v>
      </c>
      <c r="V1136">
        <v>0</v>
      </c>
      <c r="X1136">
        <v>59.9</v>
      </c>
    </row>
    <row r="1137" spans="1:24" ht="15">
      <c r="A1137">
        <v>1130</v>
      </c>
      <c r="B1137">
        <v>99930</v>
      </c>
      <c r="C1137" t="s">
        <v>637</v>
      </c>
      <c r="D1137" t="s">
        <v>638</v>
      </c>
      <c r="E1137" t="s">
        <v>27</v>
      </c>
      <c r="F1137" t="str">
        <f>"00551700"</f>
        <v>00551700</v>
      </c>
      <c r="G1137">
        <v>16.83</v>
      </c>
      <c r="H1137">
        <v>0</v>
      </c>
      <c r="I1137">
        <v>0</v>
      </c>
      <c r="J1137">
        <v>28</v>
      </c>
      <c r="K1137">
        <v>28</v>
      </c>
      <c r="M1137">
        <v>5</v>
      </c>
      <c r="N1137">
        <v>3</v>
      </c>
      <c r="O1137">
        <v>8</v>
      </c>
      <c r="P1137">
        <v>4</v>
      </c>
      <c r="Q1137">
        <v>0</v>
      </c>
      <c r="R1137">
        <v>56.83</v>
      </c>
      <c r="S1137">
        <v>0</v>
      </c>
      <c r="T1137">
        <v>0</v>
      </c>
      <c r="U1137">
        <v>3</v>
      </c>
      <c r="V1137">
        <v>0</v>
      </c>
      <c r="X1137">
        <v>59.83</v>
      </c>
    </row>
    <row r="1138" spans="1:24" ht="15">
      <c r="A1138">
        <v>1131</v>
      </c>
      <c r="B1138">
        <v>40064</v>
      </c>
      <c r="C1138" t="s">
        <v>639</v>
      </c>
      <c r="D1138" t="s">
        <v>640</v>
      </c>
      <c r="E1138" t="s">
        <v>12</v>
      </c>
      <c r="F1138" t="str">
        <f>"201503000099"</f>
        <v>201503000099</v>
      </c>
      <c r="G1138">
        <v>17.83</v>
      </c>
      <c r="H1138">
        <v>0</v>
      </c>
      <c r="I1138">
        <v>0</v>
      </c>
      <c r="J1138">
        <v>28</v>
      </c>
      <c r="K1138">
        <v>28</v>
      </c>
      <c r="L1138">
        <v>7</v>
      </c>
      <c r="N1138">
        <v>3</v>
      </c>
      <c r="O1138">
        <v>10</v>
      </c>
      <c r="P1138">
        <v>4</v>
      </c>
      <c r="Q1138">
        <v>0</v>
      </c>
      <c r="R1138">
        <v>59.83</v>
      </c>
      <c r="S1138">
        <v>0</v>
      </c>
      <c r="T1138">
        <v>0</v>
      </c>
      <c r="U1138">
        <v>0</v>
      </c>
      <c r="V1138">
        <v>0</v>
      </c>
      <c r="X1138">
        <v>59.83</v>
      </c>
    </row>
    <row r="1139" spans="1:24" ht="15">
      <c r="A1139">
        <v>1132</v>
      </c>
      <c r="B1139">
        <v>112678</v>
      </c>
      <c r="C1139" t="s">
        <v>641</v>
      </c>
      <c r="D1139" t="s">
        <v>75</v>
      </c>
      <c r="E1139" t="s">
        <v>80</v>
      </c>
      <c r="F1139" t="str">
        <f>"00617638"</f>
        <v>00617638</v>
      </c>
      <c r="G1139">
        <v>20.75</v>
      </c>
      <c r="H1139">
        <v>0</v>
      </c>
      <c r="I1139">
        <v>0</v>
      </c>
      <c r="J1139">
        <v>20</v>
      </c>
      <c r="K1139">
        <v>20</v>
      </c>
      <c r="L1139">
        <v>7</v>
      </c>
      <c r="O1139">
        <v>7</v>
      </c>
      <c r="P1139">
        <v>0</v>
      </c>
      <c r="Q1139">
        <v>0</v>
      </c>
      <c r="R1139">
        <v>47.75</v>
      </c>
      <c r="S1139">
        <v>0</v>
      </c>
      <c r="T1139">
        <v>0</v>
      </c>
      <c r="U1139">
        <v>12</v>
      </c>
      <c r="V1139">
        <v>0</v>
      </c>
      <c r="X1139">
        <v>59.75</v>
      </c>
    </row>
    <row r="1140" spans="1:24" ht="15">
      <c r="A1140">
        <v>1133</v>
      </c>
      <c r="B1140">
        <v>69747</v>
      </c>
      <c r="C1140" t="s">
        <v>642</v>
      </c>
      <c r="D1140" t="s">
        <v>80</v>
      </c>
      <c r="E1140" t="s">
        <v>469</v>
      </c>
      <c r="F1140" t="str">
        <f>"201412004829"</f>
        <v>201412004829</v>
      </c>
      <c r="G1140">
        <v>18.73</v>
      </c>
      <c r="H1140">
        <v>0</v>
      </c>
      <c r="I1140">
        <v>0</v>
      </c>
      <c r="J1140">
        <v>28</v>
      </c>
      <c r="K1140">
        <v>28</v>
      </c>
      <c r="N1140">
        <v>6</v>
      </c>
      <c r="O1140">
        <v>6</v>
      </c>
      <c r="P1140">
        <v>4</v>
      </c>
      <c r="Q1140">
        <v>0</v>
      </c>
      <c r="R1140">
        <v>56.73</v>
      </c>
      <c r="S1140">
        <v>0</v>
      </c>
      <c r="T1140">
        <v>0</v>
      </c>
      <c r="U1140">
        <v>3</v>
      </c>
      <c r="V1140">
        <v>0</v>
      </c>
      <c r="X1140">
        <v>59.73</v>
      </c>
    </row>
    <row r="1141" spans="1:24" ht="15">
      <c r="A1141">
        <v>1134</v>
      </c>
      <c r="B1141">
        <v>72318</v>
      </c>
      <c r="C1141" t="s">
        <v>644</v>
      </c>
      <c r="D1141" t="s">
        <v>370</v>
      </c>
      <c r="E1141" t="s">
        <v>30</v>
      </c>
      <c r="F1141" t="str">
        <f>"201412006487"</f>
        <v>201412006487</v>
      </c>
      <c r="G1141">
        <v>16.63</v>
      </c>
      <c r="H1141">
        <v>0</v>
      </c>
      <c r="I1141">
        <v>0</v>
      </c>
      <c r="J1141">
        <v>28</v>
      </c>
      <c r="K1141">
        <v>28</v>
      </c>
      <c r="M1141">
        <v>5</v>
      </c>
      <c r="O1141">
        <v>5</v>
      </c>
      <c r="P1141">
        <v>4</v>
      </c>
      <c r="Q1141">
        <v>0</v>
      </c>
      <c r="R1141">
        <v>53.63</v>
      </c>
      <c r="S1141">
        <v>0</v>
      </c>
      <c r="T1141">
        <v>0</v>
      </c>
      <c r="U1141">
        <v>6</v>
      </c>
      <c r="V1141">
        <v>0</v>
      </c>
      <c r="X1141">
        <v>59.63</v>
      </c>
    </row>
    <row r="1142" spans="1:24" ht="15">
      <c r="A1142">
        <v>1135</v>
      </c>
      <c r="B1142">
        <v>108431</v>
      </c>
      <c r="C1142" t="s">
        <v>648</v>
      </c>
      <c r="D1142" t="s">
        <v>12</v>
      </c>
      <c r="E1142" t="s">
        <v>288</v>
      </c>
      <c r="F1142" t="str">
        <f>"00362197"</f>
        <v>00362197</v>
      </c>
      <c r="G1142">
        <v>20.45</v>
      </c>
      <c r="H1142">
        <v>0</v>
      </c>
      <c r="I1142">
        <v>0</v>
      </c>
      <c r="J1142">
        <v>28</v>
      </c>
      <c r="K1142">
        <v>28</v>
      </c>
      <c r="L1142">
        <v>7</v>
      </c>
      <c r="O1142">
        <v>7</v>
      </c>
      <c r="P1142">
        <v>4</v>
      </c>
      <c r="Q1142">
        <v>0</v>
      </c>
      <c r="R1142">
        <v>59.45</v>
      </c>
      <c r="S1142">
        <v>0</v>
      </c>
      <c r="T1142">
        <v>0</v>
      </c>
      <c r="U1142">
        <v>0</v>
      </c>
      <c r="V1142">
        <v>0</v>
      </c>
      <c r="X1142">
        <v>59.45</v>
      </c>
    </row>
    <row r="1143" spans="1:24" ht="15">
      <c r="A1143">
        <v>1136</v>
      </c>
      <c r="B1143">
        <v>46275</v>
      </c>
      <c r="C1143" t="s">
        <v>632</v>
      </c>
      <c r="D1143" t="s">
        <v>21</v>
      </c>
      <c r="E1143" t="s">
        <v>30</v>
      </c>
      <c r="F1143" t="str">
        <f>"201412006349"</f>
        <v>201412006349</v>
      </c>
      <c r="G1143">
        <v>17.43</v>
      </c>
      <c r="H1143">
        <v>0</v>
      </c>
      <c r="I1143">
        <v>0</v>
      </c>
      <c r="J1143">
        <v>28</v>
      </c>
      <c r="K1143">
        <v>28</v>
      </c>
      <c r="L1143">
        <v>7</v>
      </c>
      <c r="N1143">
        <v>3</v>
      </c>
      <c r="O1143">
        <v>10</v>
      </c>
      <c r="P1143">
        <v>4</v>
      </c>
      <c r="Q1143">
        <v>0</v>
      </c>
      <c r="R1143">
        <v>59.43</v>
      </c>
      <c r="S1143">
        <v>0</v>
      </c>
      <c r="T1143">
        <v>0</v>
      </c>
      <c r="U1143">
        <v>0</v>
      </c>
      <c r="V1143">
        <v>0</v>
      </c>
      <c r="X1143">
        <v>59.43</v>
      </c>
    </row>
    <row r="1144" spans="1:24" ht="15">
      <c r="A1144">
        <v>1137</v>
      </c>
      <c r="B1144">
        <v>80708</v>
      </c>
      <c r="C1144" t="s">
        <v>650</v>
      </c>
      <c r="D1144" t="s">
        <v>651</v>
      </c>
      <c r="E1144" t="s">
        <v>219</v>
      </c>
      <c r="F1144" t="str">
        <f>"00469016"</f>
        <v>00469016</v>
      </c>
      <c r="G1144">
        <v>17.43</v>
      </c>
      <c r="H1144">
        <v>0</v>
      </c>
      <c r="I1144">
        <v>0</v>
      </c>
      <c r="J1144">
        <v>28</v>
      </c>
      <c r="K1144">
        <v>28</v>
      </c>
      <c r="L1144">
        <v>7</v>
      </c>
      <c r="N1144">
        <v>3</v>
      </c>
      <c r="O1144">
        <v>10</v>
      </c>
      <c r="P1144">
        <v>4</v>
      </c>
      <c r="Q1144">
        <v>0</v>
      </c>
      <c r="R1144">
        <v>59.43</v>
      </c>
      <c r="S1144">
        <v>0</v>
      </c>
      <c r="T1144">
        <v>0</v>
      </c>
      <c r="U1144">
        <v>0</v>
      </c>
      <c r="V1144">
        <v>0</v>
      </c>
      <c r="X1144">
        <v>59.43</v>
      </c>
    </row>
    <row r="1145" spans="1:24" ht="15">
      <c r="A1145">
        <v>1138</v>
      </c>
      <c r="B1145">
        <v>83714</v>
      </c>
      <c r="C1145" t="s">
        <v>652</v>
      </c>
      <c r="D1145" t="s">
        <v>29</v>
      </c>
      <c r="E1145" t="s">
        <v>469</v>
      </c>
      <c r="F1145" t="str">
        <f>"201504001953"</f>
        <v>201504001953</v>
      </c>
      <c r="G1145">
        <v>15.38</v>
      </c>
      <c r="H1145">
        <v>7</v>
      </c>
      <c r="I1145">
        <v>0</v>
      </c>
      <c r="J1145">
        <v>28</v>
      </c>
      <c r="K1145">
        <v>28</v>
      </c>
      <c r="N1145">
        <v>3</v>
      </c>
      <c r="O1145">
        <v>3</v>
      </c>
      <c r="P1145">
        <v>4</v>
      </c>
      <c r="Q1145">
        <v>2</v>
      </c>
      <c r="R1145">
        <v>59.38</v>
      </c>
      <c r="S1145">
        <v>0</v>
      </c>
      <c r="T1145">
        <v>0</v>
      </c>
      <c r="U1145">
        <v>0</v>
      </c>
      <c r="V1145">
        <v>0</v>
      </c>
      <c r="X1145">
        <v>59.38</v>
      </c>
    </row>
    <row r="1146" spans="1:24" ht="15">
      <c r="A1146">
        <v>1139</v>
      </c>
      <c r="B1146">
        <v>35642</v>
      </c>
      <c r="C1146" t="s">
        <v>654</v>
      </c>
      <c r="D1146" t="s">
        <v>29</v>
      </c>
      <c r="E1146" t="s">
        <v>655</v>
      </c>
      <c r="F1146" t="str">
        <f>"00107302"</f>
        <v>00107302</v>
      </c>
      <c r="G1146">
        <v>18.25</v>
      </c>
      <c r="H1146">
        <v>0</v>
      </c>
      <c r="I1146">
        <v>0</v>
      </c>
      <c r="J1146">
        <v>28</v>
      </c>
      <c r="K1146">
        <v>28</v>
      </c>
      <c r="N1146">
        <v>3</v>
      </c>
      <c r="O1146">
        <v>3</v>
      </c>
      <c r="P1146">
        <v>4</v>
      </c>
      <c r="Q1146">
        <v>0</v>
      </c>
      <c r="R1146">
        <v>53.25</v>
      </c>
      <c r="S1146">
        <v>0</v>
      </c>
      <c r="T1146">
        <v>0</v>
      </c>
      <c r="U1146">
        <v>6</v>
      </c>
      <c r="V1146">
        <v>0</v>
      </c>
      <c r="X1146">
        <v>59.25</v>
      </c>
    </row>
    <row r="1147" spans="1:24" ht="15">
      <c r="A1147">
        <v>1140</v>
      </c>
      <c r="B1147">
        <v>112958</v>
      </c>
      <c r="C1147" t="s">
        <v>307</v>
      </c>
      <c r="D1147" t="s">
        <v>29</v>
      </c>
      <c r="E1147" t="s">
        <v>21</v>
      </c>
      <c r="F1147" t="str">
        <f>"00563050"</f>
        <v>00563050</v>
      </c>
      <c r="G1147">
        <v>20.25</v>
      </c>
      <c r="H1147">
        <v>0</v>
      </c>
      <c r="I1147">
        <v>0</v>
      </c>
      <c r="J1147">
        <v>20</v>
      </c>
      <c r="K1147">
        <v>20</v>
      </c>
      <c r="L1147">
        <v>7</v>
      </c>
      <c r="M1147">
        <v>5</v>
      </c>
      <c r="O1147">
        <v>12</v>
      </c>
      <c r="P1147">
        <v>4</v>
      </c>
      <c r="Q1147">
        <v>0</v>
      </c>
      <c r="R1147">
        <v>56.25</v>
      </c>
      <c r="S1147">
        <v>0</v>
      </c>
      <c r="T1147">
        <v>0</v>
      </c>
      <c r="U1147">
        <v>3</v>
      </c>
      <c r="V1147">
        <v>0</v>
      </c>
      <c r="X1147">
        <v>59.25</v>
      </c>
    </row>
    <row r="1148" spans="1:24" ht="15">
      <c r="A1148">
        <v>1141</v>
      </c>
      <c r="B1148">
        <v>114058</v>
      </c>
      <c r="C1148" t="s">
        <v>657</v>
      </c>
      <c r="D1148" t="s">
        <v>75</v>
      </c>
      <c r="E1148" t="s">
        <v>113</v>
      </c>
      <c r="F1148" t="str">
        <f>"200811001579"</f>
        <v>200811001579</v>
      </c>
      <c r="G1148">
        <v>19.23</v>
      </c>
      <c r="H1148">
        <v>0</v>
      </c>
      <c r="I1148">
        <v>0</v>
      </c>
      <c r="J1148">
        <v>20</v>
      </c>
      <c r="K1148">
        <v>20</v>
      </c>
      <c r="L1148">
        <v>7</v>
      </c>
      <c r="O1148">
        <v>7</v>
      </c>
      <c r="P1148">
        <v>4</v>
      </c>
      <c r="Q1148">
        <v>0</v>
      </c>
      <c r="R1148">
        <v>50.23</v>
      </c>
      <c r="S1148">
        <v>0</v>
      </c>
      <c r="T1148">
        <v>0</v>
      </c>
      <c r="U1148">
        <v>9</v>
      </c>
      <c r="V1148">
        <v>0</v>
      </c>
      <c r="X1148">
        <v>59.23</v>
      </c>
    </row>
    <row r="1149" spans="1:24" ht="15">
      <c r="A1149">
        <v>1142</v>
      </c>
      <c r="B1149">
        <v>8977</v>
      </c>
      <c r="C1149" t="s">
        <v>661</v>
      </c>
      <c r="D1149" t="s">
        <v>662</v>
      </c>
      <c r="E1149" t="s">
        <v>135</v>
      </c>
      <c r="F1149" t="str">
        <f>"201406000091"</f>
        <v>201406000091</v>
      </c>
      <c r="G1149">
        <v>18.05</v>
      </c>
      <c r="H1149">
        <v>0</v>
      </c>
      <c r="I1149">
        <v>0</v>
      </c>
      <c r="J1149">
        <v>28</v>
      </c>
      <c r="K1149">
        <v>28</v>
      </c>
      <c r="N1149">
        <v>3</v>
      </c>
      <c r="O1149">
        <v>3</v>
      </c>
      <c r="P1149">
        <v>4</v>
      </c>
      <c r="Q1149">
        <v>0</v>
      </c>
      <c r="R1149">
        <v>53.05</v>
      </c>
      <c r="S1149">
        <v>0</v>
      </c>
      <c r="T1149">
        <v>0</v>
      </c>
      <c r="U1149">
        <v>6</v>
      </c>
      <c r="V1149">
        <v>0</v>
      </c>
      <c r="X1149">
        <v>59.05</v>
      </c>
    </row>
    <row r="1150" spans="1:24" ht="15">
      <c r="A1150">
        <v>1143</v>
      </c>
      <c r="B1150">
        <v>93031</v>
      </c>
      <c r="C1150" t="s">
        <v>267</v>
      </c>
      <c r="D1150" t="s">
        <v>29</v>
      </c>
      <c r="E1150" t="s">
        <v>111</v>
      </c>
      <c r="F1150" t="str">
        <f>"00433227"</f>
        <v>00433227</v>
      </c>
      <c r="G1150">
        <v>20.03</v>
      </c>
      <c r="H1150">
        <v>0</v>
      </c>
      <c r="I1150">
        <v>0</v>
      </c>
      <c r="J1150">
        <v>28</v>
      </c>
      <c r="K1150">
        <v>28</v>
      </c>
      <c r="L1150">
        <v>7</v>
      </c>
      <c r="O1150">
        <v>7</v>
      </c>
      <c r="P1150">
        <v>4</v>
      </c>
      <c r="Q1150">
        <v>0</v>
      </c>
      <c r="R1150">
        <v>59.03</v>
      </c>
      <c r="S1150">
        <v>0</v>
      </c>
      <c r="T1150">
        <v>0</v>
      </c>
      <c r="U1150">
        <v>0</v>
      </c>
      <c r="V1150">
        <v>0</v>
      </c>
      <c r="X1150">
        <v>59.03</v>
      </c>
    </row>
    <row r="1151" spans="1:24" ht="15">
      <c r="A1151">
        <v>1144</v>
      </c>
      <c r="B1151">
        <v>27480</v>
      </c>
      <c r="C1151" t="s">
        <v>667</v>
      </c>
      <c r="D1151" t="s">
        <v>442</v>
      </c>
      <c r="E1151" t="s">
        <v>27</v>
      </c>
      <c r="F1151" t="str">
        <f>"00261564"</f>
        <v>00261564</v>
      </c>
      <c r="G1151">
        <v>18.85</v>
      </c>
      <c r="H1151">
        <v>0</v>
      </c>
      <c r="I1151">
        <v>0</v>
      </c>
      <c r="J1151">
        <v>20</v>
      </c>
      <c r="K1151">
        <v>20</v>
      </c>
      <c r="L1151">
        <v>7</v>
      </c>
      <c r="N1151">
        <v>3</v>
      </c>
      <c r="O1151">
        <v>10</v>
      </c>
      <c r="P1151">
        <v>4</v>
      </c>
      <c r="Q1151">
        <v>0</v>
      </c>
      <c r="R1151">
        <v>52.85</v>
      </c>
      <c r="S1151">
        <v>0</v>
      </c>
      <c r="T1151">
        <v>0</v>
      </c>
      <c r="U1151">
        <v>6</v>
      </c>
      <c r="V1151">
        <v>0</v>
      </c>
      <c r="X1151">
        <v>58.85</v>
      </c>
    </row>
    <row r="1152" spans="1:24" ht="15">
      <c r="A1152">
        <v>1145</v>
      </c>
      <c r="B1152">
        <v>113019</v>
      </c>
      <c r="C1152" t="s">
        <v>668</v>
      </c>
      <c r="D1152" t="s">
        <v>669</v>
      </c>
      <c r="E1152" t="s">
        <v>17</v>
      </c>
      <c r="F1152" t="str">
        <f>"00636965"</f>
        <v>00636965</v>
      </c>
      <c r="G1152">
        <v>17.85</v>
      </c>
      <c r="H1152">
        <v>0</v>
      </c>
      <c r="I1152">
        <v>0</v>
      </c>
      <c r="J1152">
        <v>28</v>
      </c>
      <c r="K1152">
        <v>28</v>
      </c>
      <c r="N1152">
        <v>3</v>
      </c>
      <c r="O1152">
        <v>3</v>
      </c>
      <c r="P1152">
        <v>4</v>
      </c>
      <c r="Q1152">
        <v>0</v>
      </c>
      <c r="R1152">
        <v>52.85</v>
      </c>
      <c r="S1152">
        <v>0</v>
      </c>
      <c r="T1152">
        <v>0</v>
      </c>
      <c r="U1152">
        <v>6</v>
      </c>
      <c r="V1152">
        <v>0</v>
      </c>
      <c r="X1152">
        <v>58.85</v>
      </c>
    </row>
    <row r="1153" spans="1:24" ht="15">
      <c r="A1153">
        <v>1146</v>
      </c>
      <c r="B1153">
        <v>87494</v>
      </c>
      <c r="C1153" t="s">
        <v>672</v>
      </c>
      <c r="D1153" t="s">
        <v>122</v>
      </c>
      <c r="E1153" t="s">
        <v>124</v>
      </c>
      <c r="F1153" t="str">
        <f>"00006405"</f>
        <v>00006405</v>
      </c>
      <c r="G1153">
        <v>20.83</v>
      </c>
      <c r="H1153">
        <v>0</v>
      </c>
      <c r="I1153">
        <v>0</v>
      </c>
      <c r="J1153">
        <v>28</v>
      </c>
      <c r="K1153">
        <v>28</v>
      </c>
      <c r="L1153">
        <v>7</v>
      </c>
      <c r="N1153">
        <v>3</v>
      </c>
      <c r="O1153">
        <v>10</v>
      </c>
      <c r="P1153">
        <v>0</v>
      </c>
      <c r="Q1153">
        <v>0</v>
      </c>
      <c r="R1153">
        <v>58.83</v>
      </c>
      <c r="S1153">
        <v>0</v>
      </c>
      <c r="T1153">
        <v>0</v>
      </c>
      <c r="U1153">
        <v>0</v>
      </c>
      <c r="V1153">
        <v>0</v>
      </c>
      <c r="X1153">
        <v>58.83</v>
      </c>
    </row>
    <row r="1154" spans="1:24" ht="15">
      <c r="A1154">
        <v>1147</v>
      </c>
      <c r="B1154">
        <v>44613</v>
      </c>
      <c r="C1154" t="s">
        <v>673</v>
      </c>
      <c r="D1154" t="s">
        <v>674</v>
      </c>
      <c r="E1154" t="s">
        <v>30</v>
      </c>
      <c r="F1154" t="str">
        <f>"200802006817"</f>
        <v>200802006817</v>
      </c>
      <c r="G1154">
        <v>16.75</v>
      </c>
      <c r="H1154">
        <v>0</v>
      </c>
      <c r="I1154">
        <v>0</v>
      </c>
      <c r="J1154">
        <v>28</v>
      </c>
      <c r="K1154">
        <v>28</v>
      </c>
      <c r="L1154">
        <v>7</v>
      </c>
      <c r="O1154">
        <v>7</v>
      </c>
      <c r="P1154">
        <v>4</v>
      </c>
      <c r="Q1154">
        <v>0</v>
      </c>
      <c r="R1154">
        <v>55.75</v>
      </c>
      <c r="S1154">
        <v>0</v>
      </c>
      <c r="T1154">
        <v>0</v>
      </c>
      <c r="U1154">
        <v>3</v>
      </c>
      <c r="V1154">
        <v>0</v>
      </c>
      <c r="X1154">
        <v>58.75</v>
      </c>
    </row>
    <row r="1155" spans="1:24" ht="15">
      <c r="A1155">
        <v>1148</v>
      </c>
      <c r="B1155">
        <v>47253</v>
      </c>
      <c r="C1155" t="s">
        <v>675</v>
      </c>
      <c r="D1155" t="s">
        <v>676</v>
      </c>
      <c r="E1155" t="s">
        <v>27</v>
      </c>
      <c r="F1155" t="str">
        <f>"00196923"</f>
        <v>00196923</v>
      </c>
      <c r="G1155">
        <v>15.7</v>
      </c>
      <c r="H1155">
        <v>0</v>
      </c>
      <c r="I1155">
        <v>0</v>
      </c>
      <c r="J1155">
        <v>28</v>
      </c>
      <c r="K1155">
        <v>28</v>
      </c>
      <c r="M1155">
        <v>5</v>
      </c>
      <c r="O1155">
        <v>5</v>
      </c>
      <c r="P1155">
        <v>4</v>
      </c>
      <c r="Q1155">
        <v>0</v>
      </c>
      <c r="R1155">
        <v>52.7</v>
      </c>
      <c r="S1155">
        <v>0</v>
      </c>
      <c r="T1155">
        <v>0</v>
      </c>
      <c r="U1155">
        <v>6</v>
      </c>
      <c r="V1155">
        <v>0</v>
      </c>
      <c r="X1155">
        <v>58.7</v>
      </c>
    </row>
    <row r="1156" spans="1:24" ht="15">
      <c r="A1156">
        <v>1149</v>
      </c>
      <c r="B1156">
        <v>87593</v>
      </c>
      <c r="C1156" t="s">
        <v>677</v>
      </c>
      <c r="D1156" t="s">
        <v>29</v>
      </c>
      <c r="E1156" t="s">
        <v>53</v>
      </c>
      <c r="F1156" t="str">
        <f>"00542963"</f>
        <v>00542963</v>
      </c>
      <c r="G1156">
        <v>16.7</v>
      </c>
      <c r="H1156">
        <v>0</v>
      </c>
      <c r="I1156">
        <v>0</v>
      </c>
      <c r="J1156">
        <v>28</v>
      </c>
      <c r="K1156">
        <v>28</v>
      </c>
      <c r="L1156">
        <v>7</v>
      </c>
      <c r="O1156">
        <v>7</v>
      </c>
      <c r="P1156">
        <v>4</v>
      </c>
      <c r="Q1156">
        <v>0</v>
      </c>
      <c r="R1156">
        <v>55.7</v>
      </c>
      <c r="S1156">
        <v>0</v>
      </c>
      <c r="T1156">
        <v>0</v>
      </c>
      <c r="U1156">
        <v>3</v>
      </c>
      <c r="V1156">
        <v>0</v>
      </c>
      <c r="X1156">
        <v>58.7</v>
      </c>
    </row>
    <row r="1157" spans="1:24" ht="15">
      <c r="A1157">
        <v>1150</v>
      </c>
      <c r="B1157">
        <v>89213</v>
      </c>
      <c r="C1157" t="s">
        <v>681</v>
      </c>
      <c r="D1157" t="s">
        <v>30</v>
      </c>
      <c r="E1157" t="s">
        <v>111</v>
      </c>
      <c r="F1157" t="str">
        <f>"201512004493"</f>
        <v>201512004493</v>
      </c>
      <c r="G1157">
        <v>16.65</v>
      </c>
      <c r="H1157">
        <v>0</v>
      </c>
      <c r="I1157">
        <v>0</v>
      </c>
      <c r="J1157">
        <v>20</v>
      </c>
      <c r="K1157">
        <v>20</v>
      </c>
      <c r="L1157">
        <v>7</v>
      </c>
      <c r="M1157">
        <v>5</v>
      </c>
      <c r="O1157">
        <v>12</v>
      </c>
      <c r="P1157">
        <v>4</v>
      </c>
      <c r="Q1157">
        <v>0</v>
      </c>
      <c r="R1157">
        <v>52.65</v>
      </c>
      <c r="S1157">
        <v>0</v>
      </c>
      <c r="T1157">
        <v>0</v>
      </c>
      <c r="U1157">
        <v>6</v>
      </c>
      <c r="V1157">
        <v>0</v>
      </c>
      <c r="X1157">
        <v>58.65</v>
      </c>
    </row>
    <row r="1158" spans="1:24" ht="15">
      <c r="A1158">
        <v>1151</v>
      </c>
      <c r="B1158">
        <v>100917</v>
      </c>
      <c r="C1158" t="s">
        <v>682</v>
      </c>
      <c r="D1158" t="s">
        <v>683</v>
      </c>
      <c r="E1158" t="s">
        <v>80</v>
      </c>
      <c r="F1158" t="str">
        <f>"201412000764"</f>
        <v>201412000764</v>
      </c>
      <c r="G1158">
        <v>19.63</v>
      </c>
      <c r="H1158">
        <v>0</v>
      </c>
      <c r="I1158">
        <v>0</v>
      </c>
      <c r="J1158">
        <v>28</v>
      </c>
      <c r="K1158">
        <v>28</v>
      </c>
      <c r="L1158">
        <v>7</v>
      </c>
      <c r="O1158">
        <v>7</v>
      </c>
      <c r="P1158">
        <v>4</v>
      </c>
      <c r="Q1158">
        <v>0</v>
      </c>
      <c r="R1158">
        <v>58.63</v>
      </c>
      <c r="S1158">
        <v>0</v>
      </c>
      <c r="T1158">
        <v>0</v>
      </c>
      <c r="U1158">
        <v>0</v>
      </c>
      <c r="V1158">
        <v>0</v>
      </c>
      <c r="X1158">
        <v>58.63</v>
      </c>
    </row>
    <row r="1159" spans="1:24" ht="15">
      <c r="A1159">
        <v>1152</v>
      </c>
      <c r="B1159">
        <v>51853</v>
      </c>
      <c r="C1159" t="s">
        <v>686</v>
      </c>
      <c r="D1159" t="s">
        <v>687</v>
      </c>
      <c r="E1159" t="s">
        <v>21</v>
      </c>
      <c r="F1159" t="str">
        <f>"00560716"</f>
        <v>00560716</v>
      </c>
      <c r="G1159">
        <v>18.45</v>
      </c>
      <c r="H1159">
        <v>0</v>
      </c>
      <c r="I1159">
        <v>0</v>
      </c>
      <c r="J1159">
        <v>20</v>
      </c>
      <c r="K1159">
        <v>20</v>
      </c>
      <c r="L1159">
        <v>7</v>
      </c>
      <c r="N1159">
        <v>3</v>
      </c>
      <c r="O1159">
        <v>10</v>
      </c>
      <c r="P1159">
        <v>4</v>
      </c>
      <c r="Q1159">
        <v>0</v>
      </c>
      <c r="R1159">
        <v>52.45</v>
      </c>
      <c r="S1159">
        <v>0</v>
      </c>
      <c r="T1159">
        <v>0</v>
      </c>
      <c r="U1159">
        <v>6</v>
      </c>
      <c r="V1159">
        <v>0</v>
      </c>
      <c r="X1159">
        <v>58.45</v>
      </c>
    </row>
    <row r="1160" spans="1:24" ht="15">
      <c r="A1160">
        <v>1153</v>
      </c>
      <c r="B1160">
        <v>94420</v>
      </c>
      <c r="C1160" t="s">
        <v>689</v>
      </c>
      <c r="D1160" t="s">
        <v>514</v>
      </c>
      <c r="E1160" t="s">
        <v>690</v>
      </c>
      <c r="F1160" t="str">
        <f>"00608652"</f>
        <v>00608652</v>
      </c>
      <c r="G1160">
        <v>19.45</v>
      </c>
      <c r="H1160">
        <v>0</v>
      </c>
      <c r="I1160">
        <v>0</v>
      </c>
      <c r="J1160">
        <v>28</v>
      </c>
      <c r="K1160">
        <v>28</v>
      </c>
      <c r="L1160">
        <v>7</v>
      </c>
      <c r="O1160">
        <v>7</v>
      </c>
      <c r="P1160">
        <v>4</v>
      </c>
      <c r="Q1160">
        <v>0</v>
      </c>
      <c r="R1160">
        <v>58.45</v>
      </c>
      <c r="S1160">
        <v>0</v>
      </c>
      <c r="T1160">
        <v>0</v>
      </c>
      <c r="U1160">
        <v>0</v>
      </c>
      <c r="V1160">
        <v>0</v>
      </c>
      <c r="X1160">
        <v>58.45</v>
      </c>
    </row>
    <row r="1161" spans="1:24" ht="15">
      <c r="A1161">
        <v>1154</v>
      </c>
      <c r="B1161">
        <v>107287</v>
      </c>
      <c r="C1161" t="s">
        <v>693</v>
      </c>
      <c r="D1161" t="s">
        <v>370</v>
      </c>
      <c r="E1161" t="s">
        <v>27</v>
      </c>
      <c r="F1161" t="str">
        <f>"00616664"</f>
        <v>00616664</v>
      </c>
      <c r="G1161">
        <v>19.35</v>
      </c>
      <c r="H1161">
        <v>0</v>
      </c>
      <c r="I1161">
        <v>0</v>
      </c>
      <c r="J1161">
        <v>28</v>
      </c>
      <c r="K1161">
        <v>28</v>
      </c>
      <c r="L1161">
        <v>7</v>
      </c>
      <c r="O1161">
        <v>7</v>
      </c>
      <c r="P1161">
        <v>4</v>
      </c>
      <c r="Q1161">
        <v>0</v>
      </c>
      <c r="R1161">
        <v>58.35</v>
      </c>
      <c r="S1161">
        <v>0</v>
      </c>
      <c r="T1161">
        <v>0</v>
      </c>
      <c r="U1161">
        <v>0</v>
      </c>
      <c r="V1161">
        <v>0</v>
      </c>
      <c r="X1161">
        <v>58.35</v>
      </c>
    </row>
    <row r="1162" spans="1:24" ht="15">
      <c r="A1162">
        <v>1155</v>
      </c>
      <c r="B1162">
        <v>37279</v>
      </c>
      <c r="C1162" t="s">
        <v>412</v>
      </c>
      <c r="D1162" t="s">
        <v>21</v>
      </c>
      <c r="E1162" t="s">
        <v>53</v>
      </c>
      <c r="F1162" t="str">
        <f>"00155944"</f>
        <v>00155944</v>
      </c>
      <c r="G1162">
        <v>17.23</v>
      </c>
      <c r="H1162">
        <v>0</v>
      </c>
      <c r="I1162">
        <v>0</v>
      </c>
      <c r="J1162">
        <v>28</v>
      </c>
      <c r="K1162">
        <v>28</v>
      </c>
      <c r="N1162">
        <v>6</v>
      </c>
      <c r="O1162">
        <v>6</v>
      </c>
      <c r="P1162">
        <v>4</v>
      </c>
      <c r="Q1162">
        <v>0</v>
      </c>
      <c r="R1162">
        <v>55.23</v>
      </c>
      <c r="S1162">
        <v>0</v>
      </c>
      <c r="T1162">
        <v>0</v>
      </c>
      <c r="U1162">
        <v>3</v>
      </c>
      <c r="V1162">
        <v>0</v>
      </c>
      <c r="X1162">
        <v>58.23</v>
      </c>
    </row>
    <row r="1163" spans="1:24" ht="15">
      <c r="A1163">
        <v>1156</v>
      </c>
      <c r="B1163">
        <v>36342</v>
      </c>
      <c r="C1163" t="s">
        <v>700</v>
      </c>
      <c r="D1163" t="s">
        <v>41</v>
      </c>
      <c r="E1163" t="s">
        <v>27</v>
      </c>
      <c r="F1163" t="str">
        <f>"00621819"</f>
        <v>00621819</v>
      </c>
      <c r="G1163">
        <v>23.18</v>
      </c>
      <c r="H1163">
        <v>0</v>
      </c>
      <c r="I1163">
        <v>0</v>
      </c>
      <c r="J1163">
        <v>28</v>
      </c>
      <c r="K1163">
        <v>28</v>
      </c>
      <c r="L1163">
        <v>7</v>
      </c>
      <c r="O1163">
        <v>7</v>
      </c>
      <c r="P1163">
        <v>0</v>
      </c>
      <c r="Q1163">
        <v>0</v>
      </c>
      <c r="R1163">
        <v>58.18</v>
      </c>
      <c r="S1163">
        <v>0</v>
      </c>
      <c r="T1163">
        <v>0</v>
      </c>
      <c r="U1163">
        <v>0</v>
      </c>
      <c r="V1163">
        <v>0</v>
      </c>
      <c r="X1163">
        <v>58.18</v>
      </c>
    </row>
    <row r="1164" spans="1:24" ht="15">
      <c r="A1164">
        <v>1157</v>
      </c>
      <c r="B1164">
        <v>38300</v>
      </c>
      <c r="C1164" t="s">
        <v>701</v>
      </c>
      <c r="D1164" t="s">
        <v>17</v>
      </c>
      <c r="E1164" t="s">
        <v>20</v>
      </c>
      <c r="F1164" t="str">
        <f>"00621660"</f>
        <v>00621660</v>
      </c>
      <c r="G1164">
        <v>19.08</v>
      </c>
      <c r="H1164">
        <v>0</v>
      </c>
      <c r="I1164">
        <v>0</v>
      </c>
      <c r="J1164">
        <v>28</v>
      </c>
      <c r="K1164">
        <v>28</v>
      </c>
      <c r="L1164">
        <v>7</v>
      </c>
      <c r="O1164">
        <v>7</v>
      </c>
      <c r="P1164">
        <v>4</v>
      </c>
      <c r="Q1164">
        <v>0</v>
      </c>
      <c r="R1164">
        <v>58.08</v>
      </c>
      <c r="S1164">
        <v>0</v>
      </c>
      <c r="T1164">
        <v>0</v>
      </c>
      <c r="U1164">
        <v>0</v>
      </c>
      <c r="V1164">
        <v>0</v>
      </c>
      <c r="X1164">
        <v>58.08</v>
      </c>
    </row>
    <row r="1165" spans="1:24" ht="15">
      <c r="A1165">
        <v>1158</v>
      </c>
      <c r="B1165">
        <v>55346</v>
      </c>
      <c r="C1165" t="s">
        <v>441</v>
      </c>
      <c r="D1165" t="s">
        <v>41</v>
      </c>
      <c r="E1165" t="s">
        <v>23</v>
      </c>
      <c r="F1165" t="str">
        <f>"00622923"</f>
        <v>00622923</v>
      </c>
      <c r="G1165">
        <v>20.95</v>
      </c>
      <c r="H1165">
        <v>0</v>
      </c>
      <c r="I1165">
        <v>0</v>
      </c>
      <c r="J1165">
        <v>28</v>
      </c>
      <c r="K1165">
        <v>28</v>
      </c>
      <c r="M1165">
        <v>5</v>
      </c>
      <c r="O1165">
        <v>5</v>
      </c>
      <c r="P1165">
        <v>4</v>
      </c>
      <c r="Q1165">
        <v>0</v>
      </c>
      <c r="R1165">
        <v>57.95</v>
      </c>
      <c r="S1165">
        <v>0</v>
      </c>
      <c r="T1165">
        <v>0</v>
      </c>
      <c r="U1165">
        <v>0</v>
      </c>
      <c r="V1165">
        <v>0</v>
      </c>
      <c r="X1165">
        <v>57.95</v>
      </c>
    </row>
    <row r="1166" spans="1:24" ht="15">
      <c r="A1166">
        <v>1159</v>
      </c>
      <c r="B1166">
        <v>54377</v>
      </c>
      <c r="C1166" t="s">
        <v>707</v>
      </c>
      <c r="D1166" t="s">
        <v>708</v>
      </c>
      <c r="E1166" t="s">
        <v>113</v>
      </c>
      <c r="F1166" t="str">
        <f>"200906000122"</f>
        <v>200906000122</v>
      </c>
      <c r="G1166">
        <v>18.9</v>
      </c>
      <c r="H1166">
        <v>0</v>
      </c>
      <c r="I1166">
        <v>0</v>
      </c>
      <c r="J1166">
        <v>28</v>
      </c>
      <c r="K1166">
        <v>28</v>
      </c>
      <c r="L1166">
        <v>7</v>
      </c>
      <c r="O1166">
        <v>7</v>
      </c>
      <c r="P1166">
        <v>4</v>
      </c>
      <c r="Q1166">
        <v>0</v>
      </c>
      <c r="R1166">
        <v>57.9</v>
      </c>
      <c r="S1166">
        <v>0</v>
      </c>
      <c r="T1166">
        <v>0</v>
      </c>
      <c r="U1166">
        <v>0</v>
      </c>
      <c r="V1166">
        <v>0</v>
      </c>
      <c r="X1166">
        <v>57.9</v>
      </c>
    </row>
    <row r="1167" spans="1:24" ht="15">
      <c r="A1167">
        <v>1160</v>
      </c>
      <c r="B1167">
        <v>25658</v>
      </c>
      <c r="C1167" t="s">
        <v>709</v>
      </c>
      <c r="D1167" t="s">
        <v>50</v>
      </c>
      <c r="E1167" t="s">
        <v>587</v>
      </c>
      <c r="F1167" t="str">
        <f>"00471891"</f>
        <v>00471891</v>
      </c>
      <c r="G1167">
        <v>14.88</v>
      </c>
      <c r="H1167">
        <v>0</v>
      </c>
      <c r="I1167">
        <v>0</v>
      </c>
      <c r="J1167">
        <v>20</v>
      </c>
      <c r="K1167">
        <v>20</v>
      </c>
      <c r="L1167">
        <v>7</v>
      </c>
      <c r="N1167">
        <v>3</v>
      </c>
      <c r="O1167">
        <v>10</v>
      </c>
      <c r="P1167">
        <v>4</v>
      </c>
      <c r="Q1167">
        <v>0</v>
      </c>
      <c r="R1167">
        <v>48.88</v>
      </c>
      <c r="S1167">
        <v>0</v>
      </c>
      <c r="T1167">
        <v>0</v>
      </c>
      <c r="U1167">
        <v>9</v>
      </c>
      <c r="V1167">
        <v>0</v>
      </c>
      <c r="X1167">
        <v>57.88</v>
      </c>
    </row>
    <row r="1168" spans="1:24" ht="15">
      <c r="A1168">
        <v>1161</v>
      </c>
      <c r="B1168">
        <v>14126</v>
      </c>
      <c r="C1168" t="s">
        <v>712</v>
      </c>
      <c r="D1168" t="s">
        <v>713</v>
      </c>
      <c r="E1168" t="s">
        <v>17</v>
      </c>
      <c r="F1168" t="str">
        <f>"201601000830"</f>
        <v>201601000830</v>
      </c>
      <c r="G1168">
        <v>17.83</v>
      </c>
      <c r="H1168">
        <v>0</v>
      </c>
      <c r="I1168">
        <v>0</v>
      </c>
      <c r="J1168">
        <v>20</v>
      </c>
      <c r="K1168">
        <v>20</v>
      </c>
      <c r="L1168">
        <v>7</v>
      </c>
      <c r="N1168">
        <v>3</v>
      </c>
      <c r="O1168">
        <v>10</v>
      </c>
      <c r="P1168">
        <v>4</v>
      </c>
      <c r="Q1168">
        <v>0</v>
      </c>
      <c r="R1168">
        <v>51.83</v>
      </c>
      <c r="S1168">
        <v>0</v>
      </c>
      <c r="T1168">
        <v>0</v>
      </c>
      <c r="U1168">
        <v>6</v>
      </c>
      <c r="V1168">
        <v>0</v>
      </c>
      <c r="X1168">
        <v>57.83</v>
      </c>
    </row>
    <row r="1169" spans="1:24" ht="15">
      <c r="A1169">
        <v>1162</v>
      </c>
      <c r="B1169">
        <v>77610</v>
      </c>
      <c r="C1169" t="s">
        <v>717</v>
      </c>
      <c r="D1169" t="s">
        <v>29</v>
      </c>
      <c r="E1169" t="s">
        <v>53</v>
      </c>
      <c r="F1169" t="str">
        <f>"00011219"</f>
        <v>00011219</v>
      </c>
      <c r="G1169">
        <v>19.8</v>
      </c>
      <c r="H1169">
        <v>7</v>
      </c>
      <c r="I1169">
        <v>0</v>
      </c>
      <c r="J1169">
        <v>20</v>
      </c>
      <c r="K1169">
        <v>20</v>
      </c>
      <c r="L1169">
        <v>7</v>
      </c>
      <c r="O1169">
        <v>7</v>
      </c>
      <c r="P1169">
        <v>4</v>
      </c>
      <c r="Q1169">
        <v>0</v>
      </c>
      <c r="R1169">
        <v>57.8</v>
      </c>
      <c r="S1169">
        <v>0</v>
      </c>
      <c r="T1169">
        <v>0</v>
      </c>
      <c r="U1169">
        <v>0</v>
      </c>
      <c r="V1169">
        <v>0</v>
      </c>
      <c r="X1169">
        <v>57.8</v>
      </c>
    </row>
    <row r="1170" spans="1:24" ht="15">
      <c r="A1170">
        <v>1163</v>
      </c>
      <c r="B1170">
        <v>113984</v>
      </c>
      <c r="C1170" t="s">
        <v>718</v>
      </c>
      <c r="D1170" t="s">
        <v>719</v>
      </c>
      <c r="E1170" t="s">
        <v>76</v>
      </c>
      <c r="F1170" t="str">
        <f>"00295368"</f>
        <v>00295368</v>
      </c>
      <c r="G1170">
        <v>17.8</v>
      </c>
      <c r="H1170">
        <v>0</v>
      </c>
      <c r="I1170">
        <v>0</v>
      </c>
      <c r="J1170">
        <v>28</v>
      </c>
      <c r="K1170">
        <v>28</v>
      </c>
      <c r="M1170">
        <v>5</v>
      </c>
      <c r="N1170">
        <v>3</v>
      </c>
      <c r="O1170">
        <v>8</v>
      </c>
      <c r="P1170">
        <v>4</v>
      </c>
      <c r="Q1170">
        <v>0</v>
      </c>
      <c r="R1170">
        <v>57.8</v>
      </c>
      <c r="S1170">
        <v>0</v>
      </c>
      <c r="T1170">
        <v>0</v>
      </c>
      <c r="U1170">
        <v>0</v>
      </c>
      <c r="V1170">
        <v>0</v>
      </c>
      <c r="X1170">
        <v>57.8</v>
      </c>
    </row>
    <row r="1171" spans="1:24" ht="15">
      <c r="A1171">
        <v>1164</v>
      </c>
      <c r="B1171">
        <v>71420</v>
      </c>
      <c r="C1171" t="s">
        <v>720</v>
      </c>
      <c r="D1171" t="s">
        <v>442</v>
      </c>
      <c r="E1171" t="s">
        <v>587</v>
      </c>
      <c r="F1171" t="str">
        <f>"00108977"</f>
        <v>00108977</v>
      </c>
      <c r="G1171">
        <v>18.78</v>
      </c>
      <c r="H1171">
        <v>0</v>
      </c>
      <c r="I1171">
        <v>0</v>
      </c>
      <c r="J1171">
        <v>28</v>
      </c>
      <c r="K1171">
        <v>28</v>
      </c>
      <c r="L1171">
        <v>7</v>
      </c>
      <c r="O1171">
        <v>7</v>
      </c>
      <c r="P1171">
        <v>4</v>
      </c>
      <c r="Q1171">
        <v>0</v>
      </c>
      <c r="R1171">
        <v>57.78</v>
      </c>
      <c r="S1171">
        <v>0</v>
      </c>
      <c r="T1171">
        <v>0</v>
      </c>
      <c r="U1171">
        <v>0</v>
      </c>
      <c r="V1171">
        <v>0</v>
      </c>
      <c r="X1171">
        <v>57.78</v>
      </c>
    </row>
    <row r="1172" spans="1:24" ht="15">
      <c r="A1172">
        <v>1165</v>
      </c>
      <c r="B1172">
        <v>17472</v>
      </c>
      <c r="C1172" t="s">
        <v>721</v>
      </c>
      <c r="D1172" t="s">
        <v>407</v>
      </c>
      <c r="E1172" t="s">
        <v>12</v>
      </c>
      <c r="F1172" t="str">
        <f>"200712005441"</f>
        <v>200712005441</v>
      </c>
      <c r="G1172">
        <v>18.75</v>
      </c>
      <c r="H1172">
        <v>0</v>
      </c>
      <c r="I1172">
        <v>0</v>
      </c>
      <c r="J1172">
        <v>28</v>
      </c>
      <c r="K1172">
        <v>28</v>
      </c>
      <c r="N1172">
        <v>3</v>
      </c>
      <c r="O1172">
        <v>3</v>
      </c>
      <c r="P1172">
        <v>4</v>
      </c>
      <c r="Q1172">
        <v>0</v>
      </c>
      <c r="R1172">
        <v>53.75</v>
      </c>
      <c r="S1172">
        <v>1</v>
      </c>
      <c r="T1172">
        <v>1</v>
      </c>
      <c r="U1172">
        <v>3</v>
      </c>
      <c r="V1172">
        <v>0</v>
      </c>
      <c r="X1172">
        <v>57.75</v>
      </c>
    </row>
    <row r="1173" spans="1:24" ht="15">
      <c r="A1173">
        <v>1166</v>
      </c>
      <c r="B1173">
        <v>91844</v>
      </c>
      <c r="C1173" t="s">
        <v>722</v>
      </c>
      <c r="D1173" t="s">
        <v>236</v>
      </c>
      <c r="E1173" t="s">
        <v>723</v>
      </c>
      <c r="F1173" t="str">
        <f>"00358169"</f>
        <v>00358169</v>
      </c>
      <c r="G1173">
        <v>18.75</v>
      </c>
      <c r="H1173">
        <v>0</v>
      </c>
      <c r="I1173">
        <v>0</v>
      </c>
      <c r="J1173">
        <v>28</v>
      </c>
      <c r="K1173">
        <v>28</v>
      </c>
      <c r="L1173">
        <v>7</v>
      </c>
      <c r="O1173">
        <v>7</v>
      </c>
      <c r="P1173">
        <v>4</v>
      </c>
      <c r="Q1173">
        <v>0</v>
      </c>
      <c r="R1173">
        <v>57.75</v>
      </c>
      <c r="S1173">
        <v>0</v>
      </c>
      <c r="T1173">
        <v>0</v>
      </c>
      <c r="U1173">
        <v>0</v>
      </c>
      <c r="V1173">
        <v>0</v>
      </c>
      <c r="X1173">
        <v>57.75</v>
      </c>
    </row>
    <row r="1174" spans="1:24" ht="15">
      <c r="A1174">
        <v>1167</v>
      </c>
      <c r="B1174">
        <v>34565</v>
      </c>
      <c r="C1174" t="s">
        <v>724</v>
      </c>
      <c r="D1174" t="s">
        <v>111</v>
      </c>
      <c r="E1174" t="s">
        <v>289</v>
      </c>
      <c r="F1174" t="str">
        <f>"00616630"</f>
        <v>00616630</v>
      </c>
      <c r="G1174">
        <v>20.7</v>
      </c>
      <c r="H1174">
        <v>7</v>
      </c>
      <c r="I1174">
        <v>0</v>
      </c>
      <c r="J1174">
        <v>20</v>
      </c>
      <c r="K1174">
        <v>20</v>
      </c>
      <c r="N1174">
        <v>3</v>
      </c>
      <c r="O1174">
        <v>3</v>
      </c>
      <c r="P1174">
        <v>4</v>
      </c>
      <c r="Q1174">
        <v>0</v>
      </c>
      <c r="R1174">
        <v>54.7</v>
      </c>
      <c r="S1174">
        <v>0</v>
      </c>
      <c r="T1174">
        <v>0</v>
      </c>
      <c r="U1174">
        <v>3</v>
      </c>
      <c r="V1174">
        <v>0</v>
      </c>
      <c r="X1174">
        <v>57.7</v>
      </c>
    </row>
    <row r="1175" spans="1:24" ht="15">
      <c r="A1175">
        <v>1168</v>
      </c>
      <c r="B1175">
        <v>74994</v>
      </c>
      <c r="C1175" t="s">
        <v>731</v>
      </c>
      <c r="D1175" t="s">
        <v>732</v>
      </c>
      <c r="E1175" t="s">
        <v>44</v>
      </c>
      <c r="F1175" t="str">
        <f>"00203641"</f>
        <v>00203641</v>
      </c>
      <c r="G1175">
        <v>16.55</v>
      </c>
      <c r="H1175">
        <v>0</v>
      </c>
      <c r="I1175">
        <v>0</v>
      </c>
      <c r="J1175">
        <v>28</v>
      </c>
      <c r="K1175">
        <v>28</v>
      </c>
      <c r="N1175">
        <v>3</v>
      </c>
      <c r="O1175">
        <v>3</v>
      </c>
      <c r="P1175">
        <v>4</v>
      </c>
      <c r="Q1175">
        <v>0</v>
      </c>
      <c r="R1175">
        <v>51.55</v>
      </c>
      <c r="S1175">
        <v>0</v>
      </c>
      <c r="T1175">
        <v>0</v>
      </c>
      <c r="U1175">
        <v>6</v>
      </c>
      <c r="V1175">
        <v>0</v>
      </c>
      <c r="X1175">
        <v>57.55</v>
      </c>
    </row>
    <row r="1176" spans="1:24" ht="15">
      <c r="A1176">
        <v>1169</v>
      </c>
      <c r="B1176">
        <v>100547</v>
      </c>
      <c r="C1176" t="s">
        <v>734</v>
      </c>
      <c r="D1176" t="s">
        <v>735</v>
      </c>
      <c r="E1176" t="s">
        <v>27</v>
      </c>
      <c r="F1176" t="str">
        <f>"00644949"</f>
        <v>00644949</v>
      </c>
      <c r="G1176">
        <v>19.53</v>
      </c>
      <c r="H1176">
        <v>0</v>
      </c>
      <c r="I1176">
        <v>0</v>
      </c>
      <c r="J1176">
        <v>20</v>
      </c>
      <c r="K1176">
        <v>20</v>
      </c>
      <c r="L1176">
        <v>14</v>
      </c>
      <c r="O1176">
        <v>14</v>
      </c>
      <c r="P1176">
        <v>4</v>
      </c>
      <c r="Q1176">
        <v>0</v>
      </c>
      <c r="R1176">
        <v>57.53</v>
      </c>
      <c r="S1176">
        <v>0</v>
      </c>
      <c r="T1176">
        <v>0</v>
      </c>
      <c r="U1176">
        <v>0</v>
      </c>
      <c r="V1176">
        <v>0</v>
      </c>
      <c r="X1176">
        <v>57.53</v>
      </c>
    </row>
    <row r="1177" spans="1:24" ht="15">
      <c r="A1177">
        <v>1170</v>
      </c>
      <c r="B1177">
        <v>25443</v>
      </c>
      <c r="C1177" t="s">
        <v>736</v>
      </c>
      <c r="D1177" t="s">
        <v>591</v>
      </c>
      <c r="E1177" t="s">
        <v>27</v>
      </c>
      <c r="F1177" t="str">
        <f>"201412004112"</f>
        <v>201412004112</v>
      </c>
      <c r="G1177">
        <v>18.5</v>
      </c>
      <c r="H1177">
        <v>0</v>
      </c>
      <c r="I1177">
        <v>0</v>
      </c>
      <c r="J1177">
        <v>28</v>
      </c>
      <c r="K1177">
        <v>28</v>
      </c>
      <c r="L1177">
        <v>7</v>
      </c>
      <c r="O1177">
        <v>7</v>
      </c>
      <c r="P1177">
        <v>4</v>
      </c>
      <c r="Q1177">
        <v>0</v>
      </c>
      <c r="R1177">
        <v>57.5</v>
      </c>
      <c r="S1177">
        <v>0</v>
      </c>
      <c r="T1177">
        <v>0</v>
      </c>
      <c r="U1177">
        <v>0</v>
      </c>
      <c r="V1177">
        <v>0</v>
      </c>
      <c r="X1177">
        <v>57.5</v>
      </c>
    </row>
    <row r="1178" spans="1:24" ht="15">
      <c r="A1178">
        <v>1171</v>
      </c>
      <c r="B1178">
        <v>31364</v>
      </c>
      <c r="C1178" t="s">
        <v>737</v>
      </c>
      <c r="D1178" t="s">
        <v>738</v>
      </c>
      <c r="E1178" t="s">
        <v>201</v>
      </c>
      <c r="F1178" t="str">
        <f>"201402002923"</f>
        <v>201402002923</v>
      </c>
      <c r="G1178">
        <v>18.48</v>
      </c>
      <c r="H1178">
        <v>0</v>
      </c>
      <c r="I1178">
        <v>0</v>
      </c>
      <c r="J1178">
        <v>28</v>
      </c>
      <c r="K1178">
        <v>28</v>
      </c>
      <c r="L1178">
        <v>7</v>
      </c>
      <c r="O1178">
        <v>7</v>
      </c>
      <c r="P1178">
        <v>4</v>
      </c>
      <c r="Q1178">
        <v>0</v>
      </c>
      <c r="R1178">
        <v>57.48</v>
      </c>
      <c r="S1178">
        <v>0</v>
      </c>
      <c r="T1178">
        <v>0</v>
      </c>
      <c r="U1178">
        <v>0</v>
      </c>
      <c r="V1178">
        <v>0</v>
      </c>
      <c r="X1178">
        <v>57.48</v>
      </c>
    </row>
    <row r="1179" spans="1:24" ht="15">
      <c r="A1179">
        <v>1172</v>
      </c>
      <c r="B1179">
        <v>78127</v>
      </c>
      <c r="C1179" t="s">
        <v>739</v>
      </c>
      <c r="D1179" t="s">
        <v>122</v>
      </c>
      <c r="E1179" t="s">
        <v>27</v>
      </c>
      <c r="F1179" t="str">
        <f>"00624926"</f>
        <v>00624926</v>
      </c>
      <c r="G1179">
        <v>18.48</v>
      </c>
      <c r="H1179">
        <v>0</v>
      </c>
      <c r="I1179">
        <v>0</v>
      </c>
      <c r="J1179">
        <v>28</v>
      </c>
      <c r="K1179">
        <v>28</v>
      </c>
      <c r="L1179">
        <v>7</v>
      </c>
      <c r="O1179">
        <v>7</v>
      </c>
      <c r="P1179">
        <v>4</v>
      </c>
      <c r="Q1179">
        <v>0</v>
      </c>
      <c r="R1179">
        <v>57.48</v>
      </c>
      <c r="S1179">
        <v>0</v>
      </c>
      <c r="T1179">
        <v>0</v>
      </c>
      <c r="U1179">
        <v>0</v>
      </c>
      <c r="V1179">
        <v>0</v>
      </c>
      <c r="X1179">
        <v>57.48</v>
      </c>
    </row>
    <row r="1180" spans="1:24" ht="15">
      <c r="A1180">
        <v>1173</v>
      </c>
      <c r="B1180">
        <v>101876</v>
      </c>
      <c r="C1180" t="s">
        <v>740</v>
      </c>
      <c r="D1180" t="s">
        <v>741</v>
      </c>
      <c r="E1180" t="s">
        <v>391</v>
      </c>
      <c r="F1180" t="str">
        <f>"00487436"</f>
        <v>00487436</v>
      </c>
      <c r="G1180">
        <v>19.45</v>
      </c>
      <c r="H1180">
        <v>0</v>
      </c>
      <c r="I1180">
        <v>0</v>
      </c>
      <c r="J1180">
        <v>20</v>
      </c>
      <c r="K1180">
        <v>20</v>
      </c>
      <c r="L1180">
        <v>14</v>
      </c>
      <c r="O1180">
        <v>14</v>
      </c>
      <c r="P1180">
        <v>4</v>
      </c>
      <c r="Q1180">
        <v>0</v>
      </c>
      <c r="R1180">
        <v>57.45</v>
      </c>
      <c r="S1180">
        <v>0</v>
      </c>
      <c r="T1180">
        <v>0</v>
      </c>
      <c r="U1180">
        <v>0</v>
      </c>
      <c r="V1180">
        <v>0</v>
      </c>
      <c r="X1180">
        <v>57.45</v>
      </c>
    </row>
    <row r="1181" spans="1:24" ht="15">
      <c r="A1181">
        <v>1174</v>
      </c>
      <c r="B1181">
        <v>20112</v>
      </c>
      <c r="C1181" t="s">
        <v>742</v>
      </c>
      <c r="D1181" t="s">
        <v>743</v>
      </c>
      <c r="E1181" t="s">
        <v>27</v>
      </c>
      <c r="F1181" t="str">
        <f>"00023297"</f>
        <v>00023297</v>
      </c>
      <c r="G1181">
        <v>18.45</v>
      </c>
      <c r="H1181">
        <v>0</v>
      </c>
      <c r="I1181">
        <v>0</v>
      </c>
      <c r="J1181">
        <v>28</v>
      </c>
      <c r="K1181">
        <v>28</v>
      </c>
      <c r="L1181">
        <v>7</v>
      </c>
      <c r="O1181">
        <v>7</v>
      </c>
      <c r="P1181">
        <v>4</v>
      </c>
      <c r="Q1181">
        <v>0</v>
      </c>
      <c r="R1181">
        <v>57.45</v>
      </c>
      <c r="S1181">
        <v>0</v>
      </c>
      <c r="T1181">
        <v>0</v>
      </c>
      <c r="U1181">
        <v>0</v>
      </c>
      <c r="V1181">
        <v>0</v>
      </c>
      <c r="X1181">
        <v>57.45</v>
      </c>
    </row>
    <row r="1182" spans="1:24" ht="15">
      <c r="A1182">
        <v>1175</v>
      </c>
      <c r="B1182">
        <v>114464</v>
      </c>
      <c r="C1182" t="s">
        <v>126</v>
      </c>
      <c r="D1182" t="s">
        <v>29</v>
      </c>
      <c r="E1182" t="s">
        <v>80</v>
      </c>
      <c r="F1182" t="str">
        <f>"00602465"</f>
        <v>00602465</v>
      </c>
      <c r="G1182">
        <v>20.43</v>
      </c>
      <c r="H1182">
        <v>0</v>
      </c>
      <c r="I1182">
        <v>0</v>
      </c>
      <c r="J1182">
        <v>20</v>
      </c>
      <c r="K1182">
        <v>20</v>
      </c>
      <c r="L1182">
        <v>7</v>
      </c>
      <c r="O1182">
        <v>7</v>
      </c>
      <c r="P1182">
        <v>4</v>
      </c>
      <c r="Q1182">
        <v>0</v>
      </c>
      <c r="R1182">
        <v>51.43</v>
      </c>
      <c r="S1182">
        <v>0</v>
      </c>
      <c r="T1182">
        <v>0</v>
      </c>
      <c r="U1182">
        <v>6</v>
      </c>
      <c r="V1182">
        <v>0</v>
      </c>
      <c r="X1182">
        <v>57.43</v>
      </c>
    </row>
    <row r="1183" spans="1:24" ht="15">
      <c r="A1183">
        <v>1176</v>
      </c>
      <c r="B1183">
        <v>79272</v>
      </c>
      <c r="C1183" t="s">
        <v>745</v>
      </c>
      <c r="D1183" t="s">
        <v>746</v>
      </c>
      <c r="E1183" t="s">
        <v>21</v>
      </c>
      <c r="F1183" t="str">
        <f>"00016175"</f>
        <v>00016175</v>
      </c>
      <c r="G1183">
        <v>18.43</v>
      </c>
      <c r="H1183">
        <v>0</v>
      </c>
      <c r="I1183">
        <v>0</v>
      </c>
      <c r="J1183">
        <v>28</v>
      </c>
      <c r="K1183">
        <v>28</v>
      </c>
      <c r="L1183">
        <v>7</v>
      </c>
      <c r="O1183">
        <v>7</v>
      </c>
      <c r="P1183">
        <v>4</v>
      </c>
      <c r="Q1183">
        <v>0</v>
      </c>
      <c r="R1183">
        <v>57.43</v>
      </c>
      <c r="S1183">
        <v>0</v>
      </c>
      <c r="T1183">
        <v>0</v>
      </c>
      <c r="U1183">
        <v>0</v>
      </c>
      <c r="V1183">
        <v>0</v>
      </c>
      <c r="X1183">
        <v>57.43</v>
      </c>
    </row>
    <row r="1184" spans="1:24" ht="15">
      <c r="A1184">
        <v>1177</v>
      </c>
      <c r="B1184">
        <v>51306</v>
      </c>
      <c r="C1184" t="s">
        <v>747</v>
      </c>
      <c r="D1184" t="s">
        <v>748</v>
      </c>
      <c r="E1184" t="s">
        <v>749</v>
      </c>
      <c r="F1184" t="str">
        <f>"201406018881"</f>
        <v>201406018881</v>
      </c>
      <c r="G1184">
        <v>16.4</v>
      </c>
      <c r="H1184">
        <v>0</v>
      </c>
      <c r="I1184">
        <v>0</v>
      </c>
      <c r="J1184">
        <v>28</v>
      </c>
      <c r="K1184">
        <v>28</v>
      </c>
      <c r="N1184">
        <v>6</v>
      </c>
      <c r="O1184">
        <v>6</v>
      </c>
      <c r="P1184">
        <v>4</v>
      </c>
      <c r="Q1184">
        <v>0</v>
      </c>
      <c r="R1184">
        <v>54.4</v>
      </c>
      <c r="S1184">
        <v>0</v>
      </c>
      <c r="T1184">
        <v>0</v>
      </c>
      <c r="U1184">
        <v>3</v>
      </c>
      <c r="V1184">
        <v>0</v>
      </c>
      <c r="X1184">
        <v>57.4</v>
      </c>
    </row>
    <row r="1185" spans="1:24" ht="15">
      <c r="A1185">
        <v>1178</v>
      </c>
      <c r="B1185">
        <v>13674</v>
      </c>
      <c r="C1185" t="s">
        <v>750</v>
      </c>
      <c r="D1185" t="s">
        <v>484</v>
      </c>
      <c r="E1185" t="s">
        <v>12</v>
      </c>
      <c r="F1185" t="str">
        <f>"201412007124"</f>
        <v>201412007124</v>
      </c>
      <c r="G1185">
        <v>16.38</v>
      </c>
      <c r="H1185">
        <v>0</v>
      </c>
      <c r="I1185">
        <v>0</v>
      </c>
      <c r="J1185">
        <v>28</v>
      </c>
      <c r="K1185">
        <v>28</v>
      </c>
      <c r="N1185">
        <v>3</v>
      </c>
      <c r="O1185">
        <v>3</v>
      </c>
      <c r="P1185">
        <v>4</v>
      </c>
      <c r="Q1185">
        <v>0</v>
      </c>
      <c r="R1185">
        <v>51.38</v>
      </c>
      <c r="S1185">
        <v>0</v>
      </c>
      <c r="T1185">
        <v>0</v>
      </c>
      <c r="U1185">
        <v>6</v>
      </c>
      <c r="V1185">
        <v>0</v>
      </c>
      <c r="X1185">
        <v>57.38</v>
      </c>
    </row>
    <row r="1186" spans="1:24" ht="15">
      <c r="A1186">
        <v>1179</v>
      </c>
      <c r="B1186">
        <v>82090</v>
      </c>
      <c r="C1186" t="s">
        <v>751</v>
      </c>
      <c r="D1186" t="s">
        <v>29</v>
      </c>
      <c r="E1186" t="s">
        <v>752</v>
      </c>
      <c r="F1186" t="str">
        <f>"200802007462"</f>
        <v>200802007462</v>
      </c>
      <c r="G1186">
        <v>17.35</v>
      </c>
      <c r="H1186">
        <v>0</v>
      </c>
      <c r="I1186">
        <v>0</v>
      </c>
      <c r="J1186">
        <v>20</v>
      </c>
      <c r="K1186">
        <v>20</v>
      </c>
      <c r="L1186">
        <v>7</v>
      </c>
      <c r="N1186">
        <v>3</v>
      </c>
      <c r="O1186">
        <v>10</v>
      </c>
      <c r="P1186">
        <v>4</v>
      </c>
      <c r="Q1186">
        <v>0</v>
      </c>
      <c r="R1186">
        <v>51.35</v>
      </c>
      <c r="S1186">
        <v>0</v>
      </c>
      <c r="T1186">
        <v>0</v>
      </c>
      <c r="U1186">
        <v>6</v>
      </c>
      <c r="V1186">
        <v>0</v>
      </c>
      <c r="X1186">
        <v>57.35</v>
      </c>
    </row>
    <row r="1187" spans="1:24" ht="15">
      <c r="A1187">
        <v>1180</v>
      </c>
      <c r="B1187">
        <v>108930</v>
      </c>
      <c r="C1187" t="s">
        <v>756</v>
      </c>
      <c r="D1187" t="s">
        <v>363</v>
      </c>
      <c r="E1187" t="s">
        <v>53</v>
      </c>
      <c r="F1187" t="str">
        <f>"00648237"</f>
        <v>00648237</v>
      </c>
      <c r="G1187">
        <v>17.25</v>
      </c>
      <c r="H1187">
        <v>0</v>
      </c>
      <c r="I1187">
        <v>0</v>
      </c>
      <c r="J1187">
        <v>20</v>
      </c>
      <c r="K1187">
        <v>20</v>
      </c>
      <c r="L1187">
        <v>7</v>
      </c>
      <c r="O1187">
        <v>7</v>
      </c>
      <c r="P1187">
        <v>4</v>
      </c>
      <c r="Q1187">
        <v>0</v>
      </c>
      <c r="R1187">
        <v>48.25</v>
      </c>
      <c r="S1187">
        <v>0</v>
      </c>
      <c r="T1187">
        <v>0</v>
      </c>
      <c r="U1187">
        <v>9</v>
      </c>
      <c r="V1187">
        <v>0</v>
      </c>
      <c r="X1187">
        <v>57.25</v>
      </c>
    </row>
    <row r="1188" spans="1:24" ht="15">
      <c r="A1188">
        <v>1181</v>
      </c>
      <c r="B1188">
        <v>12909</v>
      </c>
      <c r="C1188" t="s">
        <v>757</v>
      </c>
      <c r="D1188" t="s">
        <v>21</v>
      </c>
      <c r="E1188" t="s">
        <v>12</v>
      </c>
      <c r="F1188" t="str">
        <f>"00042858"</f>
        <v>00042858</v>
      </c>
      <c r="G1188">
        <v>18.25</v>
      </c>
      <c r="H1188">
        <v>0</v>
      </c>
      <c r="I1188">
        <v>0</v>
      </c>
      <c r="J1188">
        <v>28</v>
      </c>
      <c r="K1188">
        <v>28</v>
      </c>
      <c r="L1188">
        <v>7</v>
      </c>
      <c r="O1188">
        <v>7</v>
      </c>
      <c r="P1188">
        <v>4</v>
      </c>
      <c r="Q1188">
        <v>0</v>
      </c>
      <c r="R1188">
        <v>57.25</v>
      </c>
      <c r="S1188">
        <v>0</v>
      </c>
      <c r="T1188">
        <v>0</v>
      </c>
      <c r="U1188">
        <v>0</v>
      </c>
      <c r="V1188">
        <v>0</v>
      </c>
      <c r="X1188">
        <v>57.25</v>
      </c>
    </row>
    <row r="1189" spans="1:24" ht="15">
      <c r="A1189">
        <v>1182</v>
      </c>
      <c r="B1189">
        <v>111291</v>
      </c>
      <c r="C1189" t="s">
        <v>758</v>
      </c>
      <c r="D1189" t="s">
        <v>12</v>
      </c>
      <c r="E1189" t="s">
        <v>30</v>
      </c>
      <c r="F1189" t="str">
        <f>"00641342"</f>
        <v>00641342</v>
      </c>
      <c r="G1189">
        <v>17.43</v>
      </c>
      <c r="H1189">
        <v>0</v>
      </c>
      <c r="I1189">
        <v>0</v>
      </c>
      <c r="J1189">
        <v>0</v>
      </c>
      <c r="K1189">
        <v>0</v>
      </c>
      <c r="N1189">
        <v>3</v>
      </c>
      <c r="O1189">
        <v>3</v>
      </c>
      <c r="P1189">
        <v>4</v>
      </c>
      <c r="Q1189">
        <v>0</v>
      </c>
      <c r="R1189">
        <v>24.43</v>
      </c>
      <c r="S1189">
        <v>0</v>
      </c>
      <c r="T1189">
        <v>0</v>
      </c>
      <c r="U1189">
        <v>6</v>
      </c>
      <c r="V1189">
        <v>26.8</v>
      </c>
      <c r="X1189">
        <v>57.23</v>
      </c>
    </row>
    <row r="1190" spans="1:24" ht="15">
      <c r="A1190">
        <v>1183</v>
      </c>
      <c r="B1190">
        <v>92779</v>
      </c>
      <c r="C1190" t="s">
        <v>759</v>
      </c>
      <c r="D1190" t="s">
        <v>760</v>
      </c>
      <c r="E1190" t="s">
        <v>17</v>
      </c>
      <c r="F1190" t="str">
        <f>"00384098"</f>
        <v>00384098</v>
      </c>
      <c r="G1190">
        <v>19.23</v>
      </c>
      <c r="H1190">
        <v>0</v>
      </c>
      <c r="I1190">
        <v>0</v>
      </c>
      <c r="J1190">
        <v>28</v>
      </c>
      <c r="K1190">
        <v>28</v>
      </c>
      <c r="N1190">
        <v>6</v>
      </c>
      <c r="O1190">
        <v>6</v>
      </c>
      <c r="P1190">
        <v>4</v>
      </c>
      <c r="Q1190">
        <v>0</v>
      </c>
      <c r="R1190">
        <v>57.23</v>
      </c>
      <c r="S1190">
        <v>0</v>
      </c>
      <c r="T1190">
        <v>0</v>
      </c>
      <c r="U1190">
        <v>0</v>
      </c>
      <c r="V1190">
        <v>0</v>
      </c>
      <c r="X1190">
        <v>57.23</v>
      </c>
    </row>
    <row r="1191" spans="1:24" ht="15">
      <c r="A1191">
        <v>1184</v>
      </c>
      <c r="B1191">
        <v>26583</v>
      </c>
      <c r="C1191" t="s">
        <v>763</v>
      </c>
      <c r="D1191" t="s">
        <v>764</v>
      </c>
      <c r="E1191" t="s">
        <v>17</v>
      </c>
      <c r="F1191" t="str">
        <f>"201504004238"</f>
        <v>201504004238</v>
      </c>
      <c r="G1191">
        <v>17.13</v>
      </c>
      <c r="H1191">
        <v>0</v>
      </c>
      <c r="I1191">
        <v>0</v>
      </c>
      <c r="J1191">
        <v>20</v>
      </c>
      <c r="K1191">
        <v>20</v>
      </c>
      <c r="L1191">
        <v>7</v>
      </c>
      <c r="N1191">
        <v>3</v>
      </c>
      <c r="O1191">
        <v>10</v>
      </c>
      <c r="P1191">
        <v>4</v>
      </c>
      <c r="Q1191">
        <v>0</v>
      </c>
      <c r="R1191">
        <v>51.13</v>
      </c>
      <c r="S1191">
        <v>0</v>
      </c>
      <c r="T1191">
        <v>0</v>
      </c>
      <c r="U1191">
        <v>6</v>
      </c>
      <c r="V1191">
        <v>0</v>
      </c>
      <c r="X1191">
        <v>57.13</v>
      </c>
    </row>
    <row r="1192" spans="1:24" ht="15">
      <c r="A1192">
        <v>1185</v>
      </c>
      <c r="B1192">
        <v>115648</v>
      </c>
      <c r="C1192" t="s">
        <v>765</v>
      </c>
      <c r="D1192" t="s">
        <v>728</v>
      </c>
      <c r="E1192" t="s">
        <v>53</v>
      </c>
      <c r="F1192" t="str">
        <f>"00649665"</f>
        <v>00649665</v>
      </c>
      <c r="G1192">
        <v>19.13</v>
      </c>
      <c r="H1192">
        <v>0</v>
      </c>
      <c r="I1192">
        <v>0</v>
      </c>
      <c r="J1192">
        <v>20</v>
      </c>
      <c r="K1192">
        <v>20</v>
      </c>
      <c r="L1192">
        <v>14</v>
      </c>
      <c r="O1192">
        <v>14</v>
      </c>
      <c r="P1192">
        <v>4</v>
      </c>
      <c r="Q1192">
        <v>0</v>
      </c>
      <c r="R1192">
        <v>57.13</v>
      </c>
      <c r="S1192">
        <v>0</v>
      </c>
      <c r="T1192">
        <v>0</v>
      </c>
      <c r="U1192">
        <v>0</v>
      </c>
      <c r="V1192">
        <v>0</v>
      </c>
      <c r="X1192">
        <v>57.13</v>
      </c>
    </row>
    <row r="1193" spans="1:24" ht="15">
      <c r="A1193">
        <v>1186</v>
      </c>
      <c r="B1193">
        <v>103430</v>
      </c>
      <c r="C1193" t="s">
        <v>766</v>
      </c>
      <c r="D1193" t="s">
        <v>614</v>
      </c>
      <c r="E1193" t="s">
        <v>12</v>
      </c>
      <c r="F1193" t="str">
        <f>"00639049"</f>
        <v>00639049</v>
      </c>
      <c r="G1193">
        <v>19.13</v>
      </c>
      <c r="H1193">
        <v>0</v>
      </c>
      <c r="I1193">
        <v>0</v>
      </c>
      <c r="J1193">
        <v>20</v>
      </c>
      <c r="K1193">
        <v>20</v>
      </c>
      <c r="L1193">
        <v>14</v>
      </c>
      <c r="O1193">
        <v>14</v>
      </c>
      <c r="P1193">
        <v>4</v>
      </c>
      <c r="Q1193">
        <v>0</v>
      </c>
      <c r="R1193">
        <v>57.13</v>
      </c>
      <c r="S1193">
        <v>0</v>
      </c>
      <c r="T1193">
        <v>0</v>
      </c>
      <c r="U1193">
        <v>0</v>
      </c>
      <c r="V1193">
        <v>0</v>
      </c>
      <c r="X1193">
        <v>57.13</v>
      </c>
    </row>
    <row r="1194" spans="1:24" ht="15">
      <c r="A1194">
        <v>1187</v>
      </c>
      <c r="B1194">
        <v>12889</v>
      </c>
      <c r="C1194" t="s">
        <v>767</v>
      </c>
      <c r="D1194" t="s">
        <v>442</v>
      </c>
      <c r="E1194" t="s">
        <v>27</v>
      </c>
      <c r="F1194" t="str">
        <f>"201304001246"</f>
        <v>201304001246</v>
      </c>
      <c r="G1194">
        <v>18.08</v>
      </c>
      <c r="H1194">
        <v>0</v>
      </c>
      <c r="I1194">
        <v>0</v>
      </c>
      <c r="J1194">
        <v>28</v>
      </c>
      <c r="K1194">
        <v>28</v>
      </c>
      <c r="L1194">
        <v>7</v>
      </c>
      <c r="O1194">
        <v>7</v>
      </c>
      <c r="P1194">
        <v>4</v>
      </c>
      <c r="Q1194">
        <v>0</v>
      </c>
      <c r="R1194">
        <v>57.08</v>
      </c>
      <c r="S1194">
        <v>0</v>
      </c>
      <c r="T1194">
        <v>0</v>
      </c>
      <c r="U1194">
        <v>0</v>
      </c>
      <c r="V1194">
        <v>0</v>
      </c>
      <c r="X1194">
        <v>57.08</v>
      </c>
    </row>
    <row r="1195" spans="1:24" ht="15">
      <c r="A1195">
        <v>1188</v>
      </c>
      <c r="B1195">
        <v>20331</v>
      </c>
      <c r="C1195" t="s">
        <v>769</v>
      </c>
      <c r="D1195" t="s">
        <v>587</v>
      </c>
      <c r="E1195" t="s">
        <v>21</v>
      </c>
      <c r="F1195" t="str">
        <f>"201507005291"</f>
        <v>201507005291</v>
      </c>
      <c r="G1195">
        <v>17.98</v>
      </c>
      <c r="H1195">
        <v>0</v>
      </c>
      <c r="I1195">
        <v>0</v>
      </c>
      <c r="J1195">
        <v>20</v>
      </c>
      <c r="K1195">
        <v>20</v>
      </c>
      <c r="L1195">
        <v>7</v>
      </c>
      <c r="M1195">
        <v>5</v>
      </c>
      <c r="O1195">
        <v>12</v>
      </c>
      <c r="P1195">
        <v>4</v>
      </c>
      <c r="Q1195">
        <v>0</v>
      </c>
      <c r="R1195">
        <v>53.98</v>
      </c>
      <c r="S1195">
        <v>0</v>
      </c>
      <c r="T1195">
        <v>0</v>
      </c>
      <c r="U1195">
        <v>3</v>
      </c>
      <c r="V1195">
        <v>0</v>
      </c>
      <c r="X1195">
        <v>56.98</v>
      </c>
    </row>
    <row r="1196" spans="1:24" ht="15">
      <c r="A1196">
        <v>1189</v>
      </c>
      <c r="B1196">
        <v>11249</v>
      </c>
      <c r="C1196" t="s">
        <v>775</v>
      </c>
      <c r="D1196" t="s">
        <v>671</v>
      </c>
      <c r="E1196" t="s">
        <v>27</v>
      </c>
      <c r="F1196" t="str">
        <f>"00331650"</f>
        <v>00331650</v>
      </c>
      <c r="G1196">
        <v>19.93</v>
      </c>
      <c r="H1196">
        <v>0</v>
      </c>
      <c r="I1196">
        <v>0</v>
      </c>
      <c r="J1196">
        <v>20</v>
      </c>
      <c r="K1196">
        <v>20</v>
      </c>
      <c r="L1196">
        <v>7</v>
      </c>
      <c r="O1196">
        <v>7</v>
      </c>
      <c r="P1196">
        <v>4</v>
      </c>
      <c r="Q1196">
        <v>0</v>
      </c>
      <c r="R1196">
        <v>50.93</v>
      </c>
      <c r="S1196">
        <v>0</v>
      </c>
      <c r="T1196">
        <v>0</v>
      </c>
      <c r="U1196">
        <v>6</v>
      </c>
      <c r="V1196">
        <v>0</v>
      </c>
      <c r="X1196">
        <v>56.93</v>
      </c>
    </row>
    <row r="1197" spans="1:24" ht="15">
      <c r="A1197">
        <v>1190</v>
      </c>
      <c r="B1197">
        <v>47482</v>
      </c>
      <c r="C1197" t="s">
        <v>778</v>
      </c>
      <c r="D1197" t="s">
        <v>75</v>
      </c>
      <c r="E1197" t="s">
        <v>93</v>
      </c>
      <c r="F1197" t="str">
        <f>"00606766"</f>
        <v>00606766</v>
      </c>
      <c r="G1197">
        <v>17.93</v>
      </c>
      <c r="H1197">
        <v>0</v>
      </c>
      <c r="I1197">
        <v>0</v>
      </c>
      <c r="J1197">
        <v>28</v>
      </c>
      <c r="K1197">
        <v>28</v>
      </c>
      <c r="L1197">
        <v>7</v>
      </c>
      <c r="O1197">
        <v>7</v>
      </c>
      <c r="P1197">
        <v>4</v>
      </c>
      <c r="Q1197">
        <v>0</v>
      </c>
      <c r="R1197">
        <v>56.93</v>
      </c>
      <c r="S1197">
        <v>0</v>
      </c>
      <c r="T1197">
        <v>0</v>
      </c>
      <c r="U1197">
        <v>0</v>
      </c>
      <c r="V1197">
        <v>0</v>
      </c>
      <c r="X1197">
        <v>56.93</v>
      </c>
    </row>
    <row r="1198" spans="1:24" ht="15">
      <c r="A1198">
        <v>1191</v>
      </c>
      <c r="B1198">
        <v>100633</v>
      </c>
      <c r="C1198" t="s">
        <v>779</v>
      </c>
      <c r="D1198" t="s">
        <v>75</v>
      </c>
      <c r="E1198" t="s">
        <v>17</v>
      </c>
      <c r="F1198" t="str">
        <f>"00637252"</f>
        <v>00637252</v>
      </c>
      <c r="G1198">
        <v>17.9</v>
      </c>
      <c r="H1198">
        <v>0</v>
      </c>
      <c r="I1198">
        <v>0</v>
      </c>
      <c r="J1198">
        <v>28</v>
      </c>
      <c r="K1198">
        <v>28</v>
      </c>
      <c r="L1198">
        <v>7</v>
      </c>
      <c r="O1198">
        <v>7</v>
      </c>
      <c r="P1198">
        <v>4</v>
      </c>
      <c r="Q1198">
        <v>0</v>
      </c>
      <c r="R1198">
        <v>56.9</v>
      </c>
      <c r="S1198">
        <v>0</v>
      </c>
      <c r="T1198">
        <v>0</v>
      </c>
      <c r="U1198">
        <v>0</v>
      </c>
      <c r="V1198">
        <v>0</v>
      </c>
      <c r="X1198">
        <v>56.9</v>
      </c>
    </row>
    <row r="1199" spans="1:24" ht="15">
      <c r="A1199">
        <v>1192</v>
      </c>
      <c r="B1199">
        <v>112957</v>
      </c>
      <c r="C1199" t="s">
        <v>780</v>
      </c>
      <c r="D1199" t="s">
        <v>30</v>
      </c>
      <c r="E1199" t="s">
        <v>21</v>
      </c>
      <c r="F1199" t="str">
        <f>"00630731"</f>
        <v>00630731</v>
      </c>
      <c r="G1199">
        <v>17.9</v>
      </c>
      <c r="H1199">
        <v>0</v>
      </c>
      <c r="I1199">
        <v>0</v>
      </c>
      <c r="J1199">
        <v>28</v>
      </c>
      <c r="K1199">
        <v>28</v>
      </c>
      <c r="L1199">
        <v>7</v>
      </c>
      <c r="O1199">
        <v>7</v>
      </c>
      <c r="P1199">
        <v>4</v>
      </c>
      <c r="Q1199">
        <v>0</v>
      </c>
      <c r="R1199">
        <v>56.9</v>
      </c>
      <c r="S1199">
        <v>0</v>
      </c>
      <c r="T1199">
        <v>0</v>
      </c>
      <c r="U1199">
        <v>0</v>
      </c>
      <c r="V1199">
        <v>0</v>
      </c>
      <c r="X1199">
        <v>56.9</v>
      </c>
    </row>
    <row r="1200" spans="1:24" ht="15">
      <c r="A1200">
        <v>1193</v>
      </c>
      <c r="B1200">
        <v>74559</v>
      </c>
      <c r="C1200" t="s">
        <v>781</v>
      </c>
      <c r="D1200" t="s">
        <v>782</v>
      </c>
      <c r="E1200" t="s">
        <v>113</v>
      </c>
      <c r="F1200" t="str">
        <f>"00631458"</f>
        <v>00631458</v>
      </c>
      <c r="G1200">
        <v>19.88</v>
      </c>
      <c r="H1200">
        <v>0</v>
      </c>
      <c r="I1200">
        <v>0</v>
      </c>
      <c r="J1200">
        <v>20</v>
      </c>
      <c r="K1200">
        <v>20</v>
      </c>
      <c r="L1200">
        <v>7</v>
      </c>
      <c r="O1200">
        <v>7</v>
      </c>
      <c r="P1200">
        <v>4</v>
      </c>
      <c r="Q1200">
        <v>0</v>
      </c>
      <c r="R1200">
        <v>50.88</v>
      </c>
      <c r="S1200">
        <v>0</v>
      </c>
      <c r="T1200">
        <v>0</v>
      </c>
      <c r="U1200">
        <v>6</v>
      </c>
      <c r="V1200">
        <v>0</v>
      </c>
      <c r="X1200">
        <v>56.88</v>
      </c>
    </row>
    <row r="1201" spans="1:24" ht="15">
      <c r="A1201">
        <v>1194</v>
      </c>
      <c r="B1201">
        <v>69650</v>
      </c>
      <c r="C1201" t="s">
        <v>723</v>
      </c>
      <c r="D1201" t="s">
        <v>17</v>
      </c>
      <c r="E1201" t="s">
        <v>783</v>
      </c>
      <c r="F1201" t="str">
        <f>"201412002067"</f>
        <v>201412002067</v>
      </c>
      <c r="G1201">
        <v>18.88</v>
      </c>
      <c r="H1201">
        <v>0</v>
      </c>
      <c r="I1201">
        <v>0</v>
      </c>
      <c r="J1201">
        <v>28</v>
      </c>
      <c r="K1201">
        <v>28</v>
      </c>
      <c r="N1201">
        <v>6</v>
      </c>
      <c r="O1201">
        <v>6</v>
      </c>
      <c r="P1201">
        <v>4</v>
      </c>
      <c r="Q1201">
        <v>0</v>
      </c>
      <c r="R1201">
        <v>56.88</v>
      </c>
      <c r="S1201">
        <v>0</v>
      </c>
      <c r="T1201">
        <v>0</v>
      </c>
      <c r="U1201">
        <v>0</v>
      </c>
      <c r="V1201">
        <v>0</v>
      </c>
      <c r="X1201">
        <v>56.88</v>
      </c>
    </row>
    <row r="1202" spans="1:24" ht="15">
      <c r="A1202">
        <v>1195</v>
      </c>
      <c r="B1202">
        <v>79024</v>
      </c>
      <c r="C1202" t="s">
        <v>784</v>
      </c>
      <c r="D1202" t="s">
        <v>120</v>
      </c>
      <c r="E1202" t="s">
        <v>27</v>
      </c>
      <c r="F1202" t="str">
        <f>"201402011865"</f>
        <v>201402011865</v>
      </c>
      <c r="G1202">
        <v>18.83</v>
      </c>
      <c r="H1202">
        <v>7</v>
      </c>
      <c r="I1202">
        <v>0</v>
      </c>
      <c r="J1202">
        <v>20</v>
      </c>
      <c r="K1202">
        <v>20</v>
      </c>
      <c r="L1202">
        <v>7</v>
      </c>
      <c r="O1202">
        <v>7</v>
      </c>
      <c r="P1202">
        <v>4</v>
      </c>
      <c r="Q1202">
        <v>0</v>
      </c>
      <c r="R1202">
        <v>56.83</v>
      </c>
      <c r="S1202">
        <v>0</v>
      </c>
      <c r="T1202">
        <v>0</v>
      </c>
      <c r="U1202">
        <v>0</v>
      </c>
      <c r="V1202">
        <v>0</v>
      </c>
      <c r="X1202">
        <v>56.83</v>
      </c>
    </row>
    <row r="1203" spans="1:24" ht="15">
      <c r="A1203">
        <v>1196</v>
      </c>
      <c r="B1203">
        <v>88414</v>
      </c>
      <c r="C1203" t="s">
        <v>785</v>
      </c>
      <c r="D1203" t="s">
        <v>786</v>
      </c>
      <c r="E1203" t="s">
        <v>21</v>
      </c>
      <c r="F1203" t="str">
        <f>"00225543"</f>
        <v>00225543</v>
      </c>
      <c r="G1203">
        <v>17.83</v>
      </c>
      <c r="H1203">
        <v>0</v>
      </c>
      <c r="I1203">
        <v>0</v>
      </c>
      <c r="J1203">
        <v>28</v>
      </c>
      <c r="K1203">
        <v>28</v>
      </c>
      <c r="L1203">
        <v>7</v>
      </c>
      <c r="O1203">
        <v>7</v>
      </c>
      <c r="P1203">
        <v>4</v>
      </c>
      <c r="Q1203">
        <v>0</v>
      </c>
      <c r="R1203">
        <v>56.83</v>
      </c>
      <c r="S1203">
        <v>0</v>
      </c>
      <c r="T1203">
        <v>0</v>
      </c>
      <c r="U1203">
        <v>0</v>
      </c>
      <c r="V1203">
        <v>0</v>
      </c>
      <c r="X1203">
        <v>56.83</v>
      </c>
    </row>
    <row r="1204" spans="1:24" ht="15">
      <c r="A1204">
        <v>1197</v>
      </c>
      <c r="B1204">
        <v>56822</v>
      </c>
      <c r="C1204" t="s">
        <v>789</v>
      </c>
      <c r="D1204" t="s">
        <v>35</v>
      </c>
      <c r="E1204" t="s">
        <v>23</v>
      </c>
      <c r="F1204" t="str">
        <f>"00290423"</f>
        <v>00290423</v>
      </c>
      <c r="G1204">
        <v>16.75</v>
      </c>
      <c r="H1204">
        <v>0</v>
      </c>
      <c r="I1204">
        <v>0</v>
      </c>
      <c r="J1204">
        <v>20</v>
      </c>
      <c r="K1204">
        <v>20</v>
      </c>
      <c r="L1204">
        <v>7</v>
      </c>
      <c r="O1204">
        <v>7</v>
      </c>
      <c r="P1204">
        <v>4</v>
      </c>
      <c r="Q1204">
        <v>0</v>
      </c>
      <c r="R1204">
        <v>47.75</v>
      </c>
      <c r="S1204">
        <v>0</v>
      </c>
      <c r="T1204">
        <v>0</v>
      </c>
      <c r="U1204">
        <v>9</v>
      </c>
      <c r="V1204">
        <v>0</v>
      </c>
      <c r="X1204">
        <v>56.75</v>
      </c>
    </row>
    <row r="1205" spans="1:24" ht="15">
      <c r="A1205">
        <v>1198</v>
      </c>
      <c r="B1205">
        <v>86667</v>
      </c>
      <c r="C1205" t="s">
        <v>791</v>
      </c>
      <c r="D1205" t="s">
        <v>792</v>
      </c>
      <c r="E1205" t="s">
        <v>27</v>
      </c>
      <c r="F1205" t="str">
        <f>"00633770"</f>
        <v>00633770</v>
      </c>
      <c r="G1205">
        <v>16.73</v>
      </c>
      <c r="H1205">
        <v>0</v>
      </c>
      <c r="I1205">
        <v>0</v>
      </c>
      <c r="J1205">
        <v>20</v>
      </c>
      <c r="K1205">
        <v>20</v>
      </c>
      <c r="L1205">
        <v>7</v>
      </c>
      <c r="O1205">
        <v>7</v>
      </c>
      <c r="P1205">
        <v>4</v>
      </c>
      <c r="Q1205">
        <v>0</v>
      </c>
      <c r="R1205">
        <v>47.73</v>
      </c>
      <c r="S1205">
        <v>0</v>
      </c>
      <c r="T1205">
        <v>0</v>
      </c>
      <c r="U1205">
        <v>9</v>
      </c>
      <c r="V1205">
        <v>0</v>
      </c>
      <c r="X1205">
        <v>56.73</v>
      </c>
    </row>
    <row r="1206" spans="1:24" ht="15">
      <c r="A1206">
        <v>1199</v>
      </c>
      <c r="B1206">
        <v>78457</v>
      </c>
      <c r="C1206" t="s">
        <v>194</v>
      </c>
      <c r="D1206" t="s">
        <v>114</v>
      </c>
      <c r="E1206" t="s">
        <v>27</v>
      </c>
      <c r="F1206" t="str">
        <f>"00467320"</f>
        <v>00467320</v>
      </c>
      <c r="G1206">
        <v>17.73</v>
      </c>
      <c r="H1206">
        <v>0</v>
      </c>
      <c r="I1206">
        <v>0</v>
      </c>
      <c r="J1206">
        <v>28</v>
      </c>
      <c r="K1206">
        <v>28</v>
      </c>
      <c r="L1206">
        <v>7</v>
      </c>
      <c r="O1206">
        <v>7</v>
      </c>
      <c r="P1206">
        <v>4</v>
      </c>
      <c r="Q1206">
        <v>0</v>
      </c>
      <c r="R1206">
        <v>56.73</v>
      </c>
      <c r="S1206">
        <v>0</v>
      </c>
      <c r="T1206">
        <v>0</v>
      </c>
      <c r="U1206">
        <v>0</v>
      </c>
      <c r="V1206">
        <v>0</v>
      </c>
      <c r="X1206">
        <v>56.73</v>
      </c>
    </row>
    <row r="1207" spans="1:24" ht="15">
      <c r="A1207">
        <v>1200</v>
      </c>
      <c r="B1207">
        <v>78324</v>
      </c>
      <c r="C1207" t="s">
        <v>796</v>
      </c>
      <c r="D1207" t="s">
        <v>124</v>
      </c>
      <c r="E1207" t="s">
        <v>21</v>
      </c>
      <c r="F1207" t="str">
        <f>"200801006651"</f>
        <v>200801006651</v>
      </c>
      <c r="G1207">
        <v>19.7</v>
      </c>
      <c r="H1207">
        <v>0</v>
      </c>
      <c r="I1207">
        <v>0</v>
      </c>
      <c r="J1207">
        <v>20</v>
      </c>
      <c r="K1207">
        <v>20</v>
      </c>
      <c r="L1207">
        <v>7</v>
      </c>
      <c r="N1207">
        <v>3</v>
      </c>
      <c r="O1207">
        <v>10</v>
      </c>
      <c r="P1207">
        <v>4</v>
      </c>
      <c r="Q1207">
        <v>0</v>
      </c>
      <c r="R1207">
        <v>53.7</v>
      </c>
      <c r="S1207">
        <v>0</v>
      </c>
      <c r="T1207">
        <v>0</v>
      </c>
      <c r="U1207">
        <v>3</v>
      </c>
      <c r="V1207">
        <v>0</v>
      </c>
      <c r="X1207">
        <v>56.7</v>
      </c>
    </row>
    <row r="1208" spans="1:24" ht="15">
      <c r="A1208">
        <v>1201</v>
      </c>
      <c r="B1208">
        <v>10980</v>
      </c>
      <c r="C1208" t="s">
        <v>797</v>
      </c>
      <c r="D1208" t="s">
        <v>571</v>
      </c>
      <c r="E1208" t="s">
        <v>124</v>
      </c>
      <c r="F1208" t="str">
        <f>"00577497"</f>
        <v>00577497</v>
      </c>
      <c r="G1208">
        <v>18.7</v>
      </c>
      <c r="H1208">
        <v>0</v>
      </c>
      <c r="I1208">
        <v>0</v>
      </c>
      <c r="J1208">
        <v>20</v>
      </c>
      <c r="K1208">
        <v>20</v>
      </c>
      <c r="L1208">
        <v>14</v>
      </c>
      <c r="O1208">
        <v>14</v>
      </c>
      <c r="P1208">
        <v>4</v>
      </c>
      <c r="Q1208">
        <v>0</v>
      </c>
      <c r="R1208">
        <v>56.7</v>
      </c>
      <c r="S1208">
        <v>0</v>
      </c>
      <c r="T1208">
        <v>0</v>
      </c>
      <c r="U1208">
        <v>0</v>
      </c>
      <c r="V1208">
        <v>0</v>
      </c>
      <c r="X1208">
        <v>56.7</v>
      </c>
    </row>
    <row r="1209" spans="1:24" ht="15">
      <c r="A1209">
        <v>1202</v>
      </c>
      <c r="B1209">
        <v>23260</v>
      </c>
      <c r="C1209" t="s">
        <v>801</v>
      </c>
      <c r="D1209" t="s">
        <v>792</v>
      </c>
      <c r="E1209" t="s">
        <v>17</v>
      </c>
      <c r="F1209" t="str">
        <f>"00603466"</f>
        <v>00603466</v>
      </c>
      <c r="G1209">
        <v>22.68</v>
      </c>
      <c r="H1209">
        <v>0</v>
      </c>
      <c r="I1209">
        <v>0</v>
      </c>
      <c r="J1209">
        <v>20</v>
      </c>
      <c r="K1209">
        <v>20</v>
      </c>
      <c r="L1209">
        <v>7</v>
      </c>
      <c r="O1209">
        <v>7</v>
      </c>
      <c r="P1209">
        <v>4</v>
      </c>
      <c r="Q1209">
        <v>0</v>
      </c>
      <c r="R1209">
        <v>53.68</v>
      </c>
      <c r="S1209">
        <v>0</v>
      </c>
      <c r="T1209">
        <v>0</v>
      </c>
      <c r="U1209">
        <v>3</v>
      </c>
      <c r="V1209">
        <v>0</v>
      </c>
      <c r="X1209">
        <v>56.68</v>
      </c>
    </row>
    <row r="1210" spans="1:24" ht="15">
      <c r="A1210">
        <v>1203</v>
      </c>
      <c r="B1210">
        <v>54900</v>
      </c>
      <c r="C1210" t="s">
        <v>809</v>
      </c>
      <c r="D1210" t="s">
        <v>252</v>
      </c>
      <c r="E1210" t="s">
        <v>17</v>
      </c>
      <c r="F1210" t="str">
        <f>"00624523"</f>
        <v>00624523</v>
      </c>
      <c r="G1210">
        <v>22.53</v>
      </c>
      <c r="H1210">
        <v>0</v>
      </c>
      <c r="I1210">
        <v>0</v>
      </c>
      <c r="J1210">
        <v>20</v>
      </c>
      <c r="K1210">
        <v>20</v>
      </c>
      <c r="L1210">
        <v>7</v>
      </c>
      <c r="N1210">
        <v>3</v>
      </c>
      <c r="O1210">
        <v>10</v>
      </c>
      <c r="P1210">
        <v>4</v>
      </c>
      <c r="Q1210">
        <v>0</v>
      </c>
      <c r="R1210">
        <v>56.53</v>
      </c>
      <c r="S1210">
        <v>0</v>
      </c>
      <c r="T1210">
        <v>0</v>
      </c>
      <c r="U1210">
        <v>0</v>
      </c>
      <c r="V1210">
        <v>0</v>
      </c>
      <c r="X1210">
        <v>56.53</v>
      </c>
    </row>
    <row r="1211" spans="1:24" ht="15">
      <c r="A1211">
        <v>1204</v>
      </c>
      <c r="B1211">
        <v>44512</v>
      </c>
      <c r="C1211" t="s">
        <v>810</v>
      </c>
      <c r="D1211" t="s">
        <v>75</v>
      </c>
      <c r="E1211" t="s">
        <v>30</v>
      </c>
      <c r="F1211" t="str">
        <f>"00365721"</f>
        <v>00365721</v>
      </c>
      <c r="G1211">
        <v>17.53</v>
      </c>
      <c r="H1211">
        <v>0</v>
      </c>
      <c r="I1211">
        <v>0</v>
      </c>
      <c r="J1211">
        <v>28</v>
      </c>
      <c r="K1211">
        <v>28</v>
      </c>
      <c r="L1211">
        <v>7</v>
      </c>
      <c r="O1211">
        <v>7</v>
      </c>
      <c r="P1211">
        <v>4</v>
      </c>
      <c r="Q1211">
        <v>0</v>
      </c>
      <c r="R1211">
        <v>56.53</v>
      </c>
      <c r="S1211">
        <v>0</v>
      </c>
      <c r="T1211">
        <v>0</v>
      </c>
      <c r="U1211">
        <v>0</v>
      </c>
      <c r="V1211">
        <v>0</v>
      </c>
      <c r="X1211">
        <v>56.53</v>
      </c>
    </row>
    <row r="1212" spans="1:24" ht="15">
      <c r="A1212">
        <v>1205</v>
      </c>
      <c r="B1212">
        <v>19533</v>
      </c>
      <c r="C1212" t="s">
        <v>144</v>
      </c>
      <c r="D1212" t="s">
        <v>316</v>
      </c>
      <c r="E1212" t="s">
        <v>811</v>
      </c>
      <c r="F1212" t="str">
        <f>"00022974"</f>
        <v>00022974</v>
      </c>
      <c r="G1212">
        <v>15.5</v>
      </c>
      <c r="H1212">
        <v>0</v>
      </c>
      <c r="I1212">
        <v>0</v>
      </c>
      <c r="J1212">
        <v>28</v>
      </c>
      <c r="K1212">
        <v>28</v>
      </c>
      <c r="N1212">
        <v>3</v>
      </c>
      <c r="O1212">
        <v>3</v>
      </c>
      <c r="P1212">
        <v>4</v>
      </c>
      <c r="Q1212">
        <v>0</v>
      </c>
      <c r="R1212">
        <v>50.5</v>
      </c>
      <c r="S1212">
        <v>0</v>
      </c>
      <c r="T1212">
        <v>0</v>
      </c>
      <c r="U1212">
        <v>6</v>
      </c>
      <c r="V1212">
        <v>0</v>
      </c>
      <c r="X1212">
        <v>56.5</v>
      </c>
    </row>
    <row r="1213" spans="1:24" ht="15">
      <c r="A1213">
        <v>1206</v>
      </c>
      <c r="B1213">
        <v>62400</v>
      </c>
      <c r="C1213" t="s">
        <v>812</v>
      </c>
      <c r="D1213" t="s">
        <v>16</v>
      </c>
      <c r="E1213" t="s">
        <v>30</v>
      </c>
      <c r="F1213" t="str">
        <f>"00001850"</f>
        <v>00001850</v>
      </c>
      <c r="G1213">
        <v>17.5</v>
      </c>
      <c r="H1213">
        <v>0</v>
      </c>
      <c r="I1213">
        <v>0</v>
      </c>
      <c r="J1213">
        <v>20</v>
      </c>
      <c r="K1213">
        <v>20</v>
      </c>
      <c r="L1213">
        <v>7</v>
      </c>
      <c r="M1213">
        <v>5</v>
      </c>
      <c r="O1213">
        <v>12</v>
      </c>
      <c r="P1213">
        <v>4</v>
      </c>
      <c r="Q1213">
        <v>0</v>
      </c>
      <c r="R1213">
        <v>53.5</v>
      </c>
      <c r="S1213">
        <v>0</v>
      </c>
      <c r="T1213">
        <v>0</v>
      </c>
      <c r="U1213">
        <v>3</v>
      </c>
      <c r="V1213">
        <v>0</v>
      </c>
      <c r="X1213">
        <v>56.5</v>
      </c>
    </row>
    <row r="1214" spans="1:24" ht="15">
      <c r="A1214">
        <v>1207</v>
      </c>
      <c r="B1214">
        <v>96814</v>
      </c>
      <c r="C1214" t="s">
        <v>813</v>
      </c>
      <c r="D1214" t="s">
        <v>814</v>
      </c>
      <c r="E1214" t="s">
        <v>155</v>
      </c>
      <c r="F1214" t="str">
        <f>"00369254"</f>
        <v>00369254</v>
      </c>
      <c r="G1214">
        <v>18.5</v>
      </c>
      <c r="H1214">
        <v>0</v>
      </c>
      <c r="I1214">
        <v>0</v>
      </c>
      <c r="J1214">
        <v>20</v>
      </c>
      <c r="K1214">
        <v>20</v>
      </c>
      <c r="L1214">
        <v>14</v>
      </c>
      <c r="O1214">
        <v>14</v>
      </c>
      <c r="P1214">
        <v>4</v>
      </c>
      <c r="Q1214">
        <v>0</v>
      </c>
      <c r="R1214">
        <v>56.5</v>
      </c>
      <c r="S1214">
        <v>0</v>
      </c>
      <c r="T1214">
        <v>0</v>
      </c>
      <c r="U1214">
        <v>0</v>
      </c>
      <c r="V1214">
        <v>0</v>
      </c>
      <c r="X1214">
        <v>56.5</v>
      </c>
    </row>
    <row r="1215" spans="1:24" ht="15">
      <c r="A1215">
        <v>1208</v>
      </c>
      <c r="B1215">
        <v>71441</v>
      </c>
      <c r="C1215" t="s">
        <v>817</v>
      </c>
      <c r="D1215" t="s">
        <v>111</v>
      </c>
      <c r="E1215" t="s">
        <v>80</v>
      </c>
      <c r="F1215" t="str">
        <f>"00564755"</f>
        <v>00564755</v>
      </c>
      <c r="G1215">
        <v>16.5</v>
      </c>
      <c r="H1215">
        <v>0</v>
      </c>
      <c r="I1215">
        <v>0</v>
      </c>
      <c r="J1215">
        <v>28</v>
      </c>
      <c r="K1215">
        <v>28</v>
      </c>
      <c r="M1215">
        <v>5</v>
      </c>
      <c r="N1215">
        <v>3</v>
      </c>
      <c r="O1215">
        <v>8</v>
      </c>
      <c r="P1215">
        <v>4</v>
      </c>
      <c r="Q1215">
        <v>0</v>
      </c>
      <c r="R1215">
        <v>56.5</v>
      </c>
      <c r="S1215">
        <v>0</v>
      </c>
      <c r="T1215">
        <v>0</v>
      </c>
      <c r="U1215">
        <v>0</v>
      </c>
      <c r="V1215">
        <v>0</v>
      </c>
      <c r="X1215">
        <v>56.5</v>
      </c>
    </row>
    <row r="1216" spans="1:24" ht="15">
      <c r="A1216">
        <v>1209</v>
      </c>
      <c r="B1216">
        <v>87397</v>
      </c>
      <c r="C1216" t="s">
        <v>706</v>
      </c>
      <c r="D1216" t="s">
        <v>821</v>
      </c>
      <c r="E1216" t="s">
        <v>80</v>
      </c>
      <c r="F1216" t="str">
        <f>"00551241"</f>
        <v>00551241</v>
      </c>
      <c r="G1216">
        <v>16.45</v>
      </c>
      <c r="H1216">
        <v>0</v>
      </c>
      <c r="I1216">
        <v>0</v>
      </c>
      <c r="J1216">
        <v>28</v>
      </c>
      <c r="K1216">
        <v>28</v>
      </c>
      <c r="N1216">
        <v>3</v>
      </c>
      <c r="O1216">
        <v>3</v>
      </c>
      <c r="P1216">
        <v>0</v>
      </c>
      <c r="Q1216">
        <v>0</v>
      </c>
      <c r="R1216">
        <v>47.45</v>
      </c>
      <c r="S1216">
        <v>0</v>
      </c>
      <c r="T1216">
        <v>0</v>
      </c>
      <c r="U1216">
        <v>9</v>
      </c>
      <c r="V1216">
        <v>0</v>
      </c>
      <c r="X1216">
        <v>56.45</v>
      </c>
    </row>
    <row r="1217" spans="1:24" ht="15">
      <c r="A1217">
        <v>1210</v>
      </c>
      <c r="B1217">
        <v>2197</v>
      </c>
      <c r="C1217" t="s">
        <v>822</v>
      </c>
      <c r="D1217" t="s">
        <v>17</v>
      </c>
      <c r="E1217" t="s">
        <v>111</v>
      </c>
      <c r="F1217" t="str">
        <f>"201402008250"</f>
        <v>201402008250</v>
      </c>
      <c r="G1217">
        <v>17.33</v>
      </c>
      <c r="H1217">
        <v>0</v>
      </c>
      <c r="I1217">
        <v>0</v>
      </c>
      <c r="J1217">
        <v>28</v>
      </c>
      <c r="K1217">
        <v>28</v>
      </c>
      <c r="L1217">
        <v>7</v>
      </c>
      <c r="O1217">
        <v>7</v>
      </c>
      <c r="P1217">
        <v>4</v>
      </c>
      <c r="Q1217">
        <v>0</v>
      </c>
      <c r="R1217">
        <v>56.33</v>
      </c>
      <c r="S1217">
        <v>0</v>
      </c>
      <c r="T1217">
        <v>0</v>
      </c>
      <c r="U1217">
        <v>0</v>
      </c>
      <c r="V1217">
        <v>0</v>
      </c>
      <c r="X1217">
        <v>56.33</v>
      </c>
    </row>
    <row r="1218" spans="1:24" ht="15">
      <c r="A1218">
        <v>1211</v>
      </c>
      <c r="B1218">
        <v>95393</v>
      </c>
      <c r="C1218" t="s">
        <v>824</v>
      </c>
      <c r="D1218" t="s">
        <v>814</v>
      </c>
      <c r="E1218" t="s">
        <v>21</v>
      </c>
      <c r="F1218" t="str">
        <f>"00231832"</f>
        <v>00231832</v>
      </c>
      <c r="G1218">
        <v>18.28</v>
      </c>
      <c r="H1218">
        <v>0</v>
      </c>
      <c r="I1218">
        <v>0</v>
      </c>
      <c r="J1218">
        <v>20</v>
      </c>
      <c r="K1218">
        <v>20</v>
      </c>
      <c r="M1218">
        <v>5</v>
      </c>
      <c r="N1218">
        <v>3</v>
      </c>
      <c r="O1218">
        <v>8</v>
      </c>
      <c r="P1218">
        <v>4</v>
      </c>
      <c r="Q1218">
        <v>0</v>
      </c>
      <c r="R1218">
        <v>50.28</v>
      </c>
      <c r="S1218">
        <v>0</v>
      </c>
      <c r="T1218">
        <v>0</v>
      </c>
      <c r="U1218">
        <v>6</v>
      </c>
      <c r="V1218">
        <v>0</v>
      </c>
      <c r="X1218">
        <v>56.28</v>
      </c>
    </row>
    <row r="1219" spans="1:24" ht="15">
      <c r="A1219">
        <v>1212</v>
      </c>
      <c r="B1219">
        <v>9929</v>
      </c>
      <c r="C1219" t="s">
        <v>826</v>
      </c>
      <c r="D1219" t="s">
        <v>827</v>
      </c>
      <c r="E1219" t="s">
        <v>27</v>
      </c>
      <c r="F1219" t="str">
        <f>"00555697"</f>
        <v>00555697</v>
      </c>
      <c r="G1219">
        <v>21.25</v>
      </c>
      <c r="H1219">
        <v>0</v>
      </c>
      <c r="I1219">
        <v>0</v>
      </c>
      <c r="J1219">
        <v>28</v>
      </c>
      <c r="K1219">
        <v>28</v>
      </c>
      <c r="N1219">
        <v>3</v>
      </c>
      <c r="O1219">
        <v>3</v>
      </c>
      <c r="P1219">
        <v>4</v>
      </c>
      <c r="Q1219">
        <v>0</v>
      </c>
      <c r="R1219">
        <v>56.25</v>
      </c>
      <c r="S1219">
        <v>0</v>
      </c>
      <c r="T1219">
        <v>0</v>
      </c>
      <c r="U1219">
        <v>0</v>
      </c>
      <c r="V1219">
        <v>0</v>
      </c>
      <c r="X1219">
        <v>56.25</v>
      </c>
    </row>
    <row r="1220" spans="1:24" ht="15">
      <c r="A1220">
        <v>1213</v>
      </c>
      <c r="B1220">
        <v>80807</v>
      </c>
      <c r="C1220" t="s">
        <v>828</v>
      </c>
      <c r="D1220" t="s">
        <v>153</v>
      </c>
      <c r="E1220" t="s">
        <v>120</v>
      </c>
      <c r="F1220" t="str">
        <f>"00581584"</f>
        <v>00581584</v>
      </c>
      <c r="G1220">
        <v>21.25</v>
      </c>
      <c r="H1220">
        <v>0</v>
      </c>
      <c r="I1220">
        <v>0</v>
      </c>
      <c r="J1220">
        <v>28</v>
      </c>
      <c r="K1220">
        <v>28</v>
      </c>
      <c r="L1220">
        <v>7</v>
      </c>
      <c r="O1220">
        <v>7</v>
      </c>
      <c r="P1220">
        <v>0</v>
      </c>
      <c r="Q1220">
        <v>0</v>
      </c>
      <c r="R1220">
        <v>56.25</v>
      </c>
      <c r="S1220">
        <v>0</v>
      </c>
      <c r="T1220">
        <v>0</v>
      </c>
      <c r="U1220">
        <v>0</v>
      </c>
      <c r="V1220">
        <v>0</v>
      </c>
      <c r="X1220">
        <v>56.25</v>
      </c>
    </row>
    <row r="1221" spans="1:24" ht="15">
      <c r="A1221">
        <v>1214</v>
      </c>
      <c r="B1221">
        <v>91898</v>
      </c>
      <c r="C1221" t="s">
        <v>832</v>
      </c>
      <c r="D1221" t="s">
        <v>833</v>
      </c>
      <c r="E1221" t="s">
        <v>273</v>
      </c>
      <c r="F1221" t="str">
        <f>"00643897"</f>
        <v>00643897</v>
      </c>
      <c r="G1221">
        <v>21.18</v>
      </c>
      <c r="H1221">
        <v>0</v>
      </c>
      <c r="I1221">
        <v>0</v>
      </c>
      <c r="J1221">
        <v>20</v>
      </c>
      <c r="K1221">
        <v>20</v>
      </c>
      <c r="M1221">
        <v>5</v>
      </c>
      <c r="O1221">
        <v>5</v>
      </c>
      <c r="P1221">
        <v>4</v>
      </c>
      <c r="Q1221">
        <v>0</v>
      </c>
      <c r="R1221">
        <v>50.18</v>
      </c>
      <c r="S1221">
        <v>0</v>
      </c>
      <c r="T1221">
        <v>0</v>
      </c>
      <c r="U1221">
        <v>6</v>
      </c>
      <c r="V1221">
        <v>0</v>
      </c>
      <c r="X1221">
        <v>56.18</v>
      </c>
    </row>
    <row r="1222" spans="1:24" ht="15">
      <c r="A1222">
        <v>1215</v>
      </c>
      <c r="B1222">
        <v>27277</v>
      </c>
      <c r="C1222" t="s">
        <v>834</v>
      </c>
      <c r="D1222" t="s">
        <v>29</v>
      </c>
      <c r="E1222" t="s">
        <v>23</v>
      </c>
      <c r="F1222" t="str">
        <f>"00628108"</f>
        <v>00628108</v>
      </c>
      <c r="G1222">
        <v>20.18</v>
      </c>
      <c r="H1222">
        <v>0</v>
      </c>
      <c r="I1222">
        <v>0</v>
      </c>
      <c r="J1222">
        <v>20</v>
      </c>
      <c r="K1222">
        <v>20</v>
      </c>
      <c r="L1222">
        <v>7</v>
      </c>
      <c r="M1222">
        <v>5</v>
      </c>
      <c r="O1222">
        <v>12</v>
      </c>
      <c r="P1222">
        <v>4</v>
      </c>
      <c r="Q1222">
        <v>0</v>
      </c>
      <c r="R1222">
        <v>56.18</v>
      </c>
      <c r="S1222">
        <v>0</v>
      </c>
      <c r="T1222">
        <v>0</v>
      </c>
      <c r="U1222">
        <v>0</v>
      </c>
      <c r="V1222">
        <v>0</v>
      </c>
      <c r="X1222">
        <v>56.18</v>
      </c>
    </row>
    <row r="1223" spans="1:24" ht="15">
      <c r="A1223">
        <v>1216</v>
      </c>
      <c r="B1223">
        <v>71025</v>
      </c>
      <c r="C1223" t="s">
        <v>835</v>
      </c>
      <c r="D1223" t="s">
        <v>799</v>
      </c>
      <c r="E1223" t="s">
        <v>27</v>
      </c>
      <c r="F1223" t="str">
        <f>"00580762"</f>
        <v>00580762</v>
      </c>
      <c r="G1223">
        <v>22.15</v>
      </c>
      <c r="H1223">
        <v>0</v>
      </c>
      <c r="I1223">
        <v>0</v>
      </c>
      <c r="J1223">
        <v>20</v>
      </c>
      <c r="K1223">
        <v>20</v>
      </c>
      <c r="L1223">
        <v>7</v>
      </c>
      <c r="N1223">
        <v>3</v>
      </c>
      <c r="O1223">
        <v>10</v>
      </c>
      <c r="P1223">
        <v>4</v>
      </c>
      <c r="Q1223">
        <v>0</v>
      </c>
      <c r="R1223">
        <v>56.15</v>
      </c>
      <c r="S1223">
        <v>0</v>
      </c>
      <c r="T1223">
        <v>0</v>
      </c>
      <c r="U1223">
        <v>0</v>
      </c>
      <c r="V1223">
        <v>0</v>
      </c>
      <c r="X1223">
        <v>56.15</v>
      </c>
    </row>
    <row r="1224" spans="1:24" ht="15">
      <c r="A1224">
        <v>1217</v>
      </c>
      <c r="B1224">
        <v>94896</v>
      </c>
      <c r="C1224" t="s">
        <v>371</v>
      </c>
      <c r="D1224" t="s">
        <v>173</v>
      </c>
      <c r="E1224" t="s">
        <v>17</v>
      </c>
      <c r="F1224" t="str">
        <f>"201402009280"</f>
        <v>201402009280</v>
      </c>
      <c r="G1224">
        <v>20.1</v>
      </c>
      <c r="H1224">
        <v>0</v>
      </c>
      <c r="I1224">
        <v>0</v>
      </c>
      <c r="J1224">
        <v>20</v>
      </c>
      <c r="K1224">
        <v>20</v>
      </c>
      <c r="L1224">
        <v>7</v>
      </c>
      <c r="M1224">
        <v>5</v>
      </c>
      <c r="O1224">
        <v>12</v>
      </c>
      <c r="P1224">
        <v>4</v>
      </c>
      <c r="Q1224">
        <v>0</v>
      </c>
      <c r="R1224">
        <v>56.1</v>
      </c>
      <c r="S1224">
        <v>0</v>
      </c>
      <c r="T1224">
        <v>0</v>
      </c>
      <c r="U1224">
        <v>0</v>
      </c>
      <c r="V1224">
        <v>0</v>
      </c>
      <c r="X1224">
        <v>56.1</v>
      </c>
    </row>
    <row r="1225" spans="1:24" ht="15">
      <c r="A1225">
        <v>1218</v>
      </c>
      <c r="B1225">
        <v>84309</v>
      </c>
      <c r="C1225" t="s">
        <v>468</v>
      </c>
      <c r="D1225" t="s">
        <v>50</v>
      </c>
      <c r="E1225" t="s">
        <v>76</v>
      </c>
      <c r="F1225" t="str">
        <f>"00643624"</f>
        <v>00643624</v>
      </c>
      <c r="G1225">
        <v>18.08</v>
      </c>
      <c r="H1225">
        <v>0</v>
      </c>
      <c r="I1225">
        <v>0</v>
      </c>
      <c r="J1225">
        <v>28</v>
      </c>
      <c r="K1225">
        <v>28</v>
      </c>
      <c r="N1225">
        <v>6</v>
      </c>
      <c r="O1225">
        <v>6</v>
      </c>
      <c r="P1225">
        <v>4</v>
      </c>
      <c r="Q1225">
        <v>0</v>
      </c>
      <c r="R1225">
        <v>56.08</v>
      </c>
      <c r="S1225">
        <v>0</v>
      </c>
      <c r="T1225">
        <v>0</v>
      </c>
      <c r="U1225">
        <v>0</v>
      </c>
      <c r="V1225">
        <v>0</v>
      </c>
      <c r="X1225">
        <v>56.08</v>
      </c>
    </row>
    <row r="1226" spans="1:24" ht="15">
      <c r="A1226">
        <v>1219</v>
      </c>
      <c r="B1226">
        <v>102064</v>
      </c>
      <c r="C1226" t="s">
        <v>836</v>
      </c>
      <c r="D1226" t="s">
        <v>253</v>
      </c>
      <c r="E1226" t="s">
        <v>27</v>
      </c>
      <c r="F1226" t="str">
        <f>"201504000502"</f>
        <v>201504000502</v>
      </c>
      <c r="G1226">
        <v>17.05</v>
      </c>
      <c r="H1226">
        <v>0</v>
      </c>
      <c r="I1226">
        <v>0</v>
      </c>
      <c r="J1226">
        <v>28</v>
      </c>
      <c r="K1226">
        <v>28</v>
      </c>
      <c r="L1226">
        <v>7</v>
      </c>
      <c r="O1226">
        <v>7</v>
      </c>
      <c r="P1226">
        <v>4</v>
      </c>
      <c r="Q1226">
        <v>0</v>
      </c>
      <c r="R1226">
        <v>56.05</v>
      </c>
      <c r="S1226">
        <v>0</v>
      </c>
      <c r="T1226">
        <v>0</v>
      </c>
      <c r="U1226">
        <v>0</v>
      </c>
      <c r="V1226">
        <v>0</v>
      </c>
      <c r="X1226">
        <v>56.05</v>
      </c>
    </row>
    <row r="1227" spans="1:24" ht="15">
      <c r="A1227">
        <v>1220</v>
      </c>
      <c r="B1227">
        <v>20645</v>
      </c>
      <c r="C1227" t="s">
        <v>837</v>
      </c>
      <c r="D1227" t="s">
        <v>29</v>
      </c>
      <c r="E1227" t="s">
        <v>120</v>
      </c>
      <c r="F1227" t="str">
        <f>"00293337"</f>
        <v>00293337</v>
      </c>
      <c r="G1227">
        <v>18.03</v>
      </c>
      <c r="H1227">
        <v>0</v>
      </c>
      <c r="I1227">
        <v>0</v>
      </c>
      <c r="J1227">
        <v>28</v>
      </c>
      <c r="K1227">
        <v>28</v>
      </c>
      <c r="N1227">
        <v>6</v>
      </c>
      <c r="O1227">
        <v>6</v>
      </c>
      <c r="P1227">
        <v>4</v>
      </c>
      <c r="Q1227">
        <v>0</v>
      </c>
      <c r="R1227">
        <v>56.03</v>
      </c>
      <c r="S1227">
        <v>0</v>
      </c>
      <c r="T1227">
        <v>0</v>
      </c>
      <c r="U1227">
        <v>0</v>
      </c>
      <c r="V1227">
        <v>0</v>
      </c>
      <c r="X1227">
        <v>56.03</v>
      </c>
    </row>
    <row r="1228" spans="1:24" ht="15">
      <c r="A1228">
        <v>1221</v>
      </c>
      <c r="B1228">
        <v>4494</v>
      </c>
      <c r="C1228" t="s">
        <v>838</v>
      </c>
      <c r="D1228" t="s">
        <v>29</v>
      </c>
      <c r="E1228" t="s">
        <v>27</v>
      </c>
      <c r="F1228" t="str">
        <f>"201504000975"</f>
        <v>201504000975</v>
      </c>
      <c r="G1228">
        <v>18.03</v>
      </c>
      <c r="H1228">
        <v>0</v>
      </c>
      <c r="I1228">
        <v>0</v>
      </c>
      <c r="J1228">
        <v>28</v>
      </c>
      <c r="K1228">
        <v>28</v>
      </c>
      <c r="N1228">
        <v>6</v>
      </c>
      <c r="O1228">
        <v>6</v>
      </c>
      <c r="P1228">
        <v>4</v>
      </c>
      <c r="Q1228">
        <v>0</v>
      </c>
      <c r="R1228">
        <v>56.03</v>
      </c>
      <c r="S1228">
        <v>0</v>
      </c>
      <c r="T1228">
        <v>0</v>
      </c>
      <c r="U1228">
        <v>0</v>
      </c>
      <c r="V1228">
        <v>0</v>
      </c>
      <c r="X1228">
        <v>56.03</v>
      </c>
    </row>
    <row r="1229" spans="1:24" ht="15">
      <c r="A1229">
        <v>1222</v>
      </c>
      <c r="B1229">
        <v>29547</v>
      </c>
      <c r="C1229" t="s">
        <v>839</v>
      </c>
      <c r="D1229" t="s">
        <v>113</v>
      </c>
      <c r="E1229" t="s">
        <v>27</v>
      </c>
      <c r="F1229" t="str">
        <f>"00019641"</f>
        <v>00019641</v>
      </c>
      <c r="G1229">
        <v>20</v>
      </c>
      <c r="H1229">
        <v>0</v>
      </c>
      <c r="I1229">
        <v>0</v>
      </c>
      <c r="J1229">
        <v>20</v>
      </c>
      <c r="K1229">
        <v>20</v>
      </c>
      <c r="L1229">
        <v>7</v>
      </c>
      <c r="M1229">
        <v>5</v>
      </c>
      <c r="O1229">
        <v>12</v>
      </c>
      <c r="P1229">
        <v>4</v>
      </c>
      <c r="Q1229">
        <v>0</v>
      </c>
      <c r="R1229">
        <v>56</v>
      </c>
      <c r="S1229">
        <v>0</v>
      </c>
      <c r="T1229">
        <v>0</v>
      </c>
      <c r="U1229">
        <v>0</v>
      </c>
      <c r="V1229">
        <v>0</v>
      </c>
      <c r="X1229">
        <v>56</v>
      </c>
    </row>
    <row r="1230" spans="1:24" ht="15">
      <c r="A1230">
        <v>1223</v>
      </c>
      <c r="B1230">
        <v>102014</v>
      </c>
      <c r="C1230" t="s">
        <v>840</v>
      </c>
      <c r="D1230" t="s">
        <v>95</v>
      </c>
      <c r="E1230" t="s">
        <v>469</v>
      </c>
      <c r="F1230" t="str">
        <f>"00037456"</f>
        <v>00037456</v>
      </c>
      <c r="G1230">
        <v>18.98</v>
      </c>
      <c r="H1230">
        <v>0</v>
      </c>
      <c r="I1230">
        <v>0</v>
      </c>
      <c r="J1230">
        <v>28</v>
      </c>
      <c r="K1230">
        <v>28</v>
      </c>
      <c r="N1230">
        <v>3</v>
      </c>
      <c r="O1230">
        <v>3</v>
      </c>
      <c r="P1230">
        <v>0</v>
      </c>
      <c r="Q1230">
        <v>0</v>
      </c>
      <c r="R1230">
        <v>49.98</v>
      </c>
      <c r="S1230">
        <v>0</v>
      </c>
      <c r="T1230">
        <v>0</v>
      </c>
      <c r="U1230">
        <v>6</v>
      </c>
      <c r="V1230">
        <v>0</v>
      </c>
      <c r="X1230">
        <v>55.98</v>
      </c>
    </row>
    <row r="1231" spans="1:24" ht="15">
      <c r="A1231">
        <v>1224</v>
      </c>
      <c r="B1231">
        <v>78702</v>
      </c>
      <c r="C1231" t="s">
        <v>841</v>
      </c>
      <c r="D1231" t="s">
        <v>153</v>
      </c>
      <c r="E1231" t="s">
        <v>139</v>
      </c>
      <c r="F1231" t="str">
        <f>"00513408"</f>
        <v>00513408</v>
      </c>
      <c r="G1231">
        <v>21.98</v>
      </c>
      <c r="H1231">
        <v>0</v>
      </c>
      <c r="I1231">
        <v>0</v>
      </c>
      <c r="J1231">
        <v>20</v>
      </c>
      <c r="K1231">
        <v>20</v>
      </c>
      <c r="L1231">
        <v>7</v>
      </c>
      <c r="N1231">
        <v>3</v>
      </c>
      <c r="O1231">
        <v>10</v>
      </c>
      <c r="P1231">
        <v>4</v>
      </c>
      <c r="Q1231">
        <v>0</v>
      </c>
      <c r="R1231">
        <v>55.98</v>
      </c>
      <c r="S1231">
        <v>0</v>
      </c>
      <c r="T1231">
        <v>0</v>
      </c>
      <c r="U1231">
        <v>0</v>
      </c>
      <c r="V1231">
        <v>0</v>
      </c>
      <c r="X1231">
        <v>55.98</v>
      </c>
    </row>
    <row r="1232" spans="1:24" ht="15">
      <c r="A1232">
        <v>1225</v>
      </c>
      <c r="B1232">
        <v>85678</v>
      </c>
      <c r="C1232" t="s">
        <v>842</v>
      </c>
      <c r="D1232" t="s">
        <v>12</v>
      </c>
      <c r="E1232" t="s">
        <v>53</v>
      </c>
      <c r="F1232" t="str">
        <f>"00296799"</f>
        <v>00296799</v>
      </c>
      <c r="G1232">
        <v>18.95</v>
      </c>
      <c r="H1232">
        <v>0</v>
      </c>
      <c r="I1232">
        <v>0</v>
      </c>
      <c r="J1232">
        <v>20</v>
      </c>
      <c r="K1232">
        <v>20</v>
      </c>
      <c r="L1232">
        <v>7</v>
      </c>
      <c r="O1232">
        <v>7</v>
      </c>
      <c r="P1232">
        <v>4</v>
      </c>
      <c r="Q1232">
        <v>0</v>
      </c>
      <c r="R1232">
        <v>49.95</v>
      </c>
      <c r="S1232">
        <v>0</v>
      </c>
      <c r="T1232">
        <v>0</v>
      </c>
      <c r="U1232">
        <v>6</v>
      </c>
      <c r="V1232">
        <v>0</v>
      </c>
      <c r="X1232">
        <v>55.95</v>
      </c>
    </row>
    <row r="1233" spans="1:24" ht="15">
      <c r="A1233">
        <v>1226</v>
      </c>
      <c r="B1233">
        <v>54636</v>
      </c>
      <c r="C1233" t="s">
        <v>844</v>
      </c>
      <c r="D1233" t="s">
        <v>845</v>
      </c>
      <c r="E1233" t="s">
        <v>27</v>
      </c>
      <c r="F1233" t="str">
        <f>"201102000927"</f>
        <v>201102000927</v>
      </c>
      <c r="G1233">
        <v>16.95</v>
      </c>
      <c r="H1233">
        <v>0</v>
      </c>
      <c r="I1233">
        <v>0</v>
      </c>
      <c r="J1233">
        <v>28</v>
      </c>
      <c r="K1233">
        <v>28</v>
      </c>
      <c r="L1233">
        <v>7</v>
      </c>
      <c r="O1233">
        <v>7</v>
      </c>
      <c r="P1233">
        <v>4</v>
      </c>
      <c r="Q1233">
        <v>0</v>
      </c>
      <c r="R1233">
        <v>55.95</v>
      </c>
      <c r="S1233">
        <v>0</v>
      </c>
      <c r="T1233">
        <v>0</v>
      </c>
      <c r="U1233">
        <v>0</v>
      </c>
      <c r="V1233">
        <v>0</v>
      </c>
      <c r="X1233">
        <v>55.95</v>
      </c>
    </row>
    <row r="1234" spans="1:24" ht="15">
      <c r="A1234">
        <v>1227</v>
      </c>
      <c r="B1234">
        <v>28840</v>
      </c>
      <c r="C1234" t="s">
        <v>846</v>
      </c>
      <c r="D1234" t="s">
        <v>333</v>
      </c>
      <c r="E1234" t="s">
        <v>23</v>
      </c>
      <c r="F1234" t="str">
        <f>"00115995"</f>
        <v>00115995</v>
      </c>
      <c r="G1234">
        <v>16.93</v>
      </c>
      <c r="H1234">
        <v>0</v>
      </c>
      <c r="I1234">
        <v>0</v>
      </c>
      <c r="J1234">
        <v>20</v>
      </c>
      <c r="K1234">
        <v>20</v>
      </c>
      <c r="L1234">
        <v>7</v>
      </c>
      <c r="O1234">
        <v>7</v>
      </c>
      <c r="P1234">
        <v>4</v>
      </c>
      <c r="Q1234">
        <v>2</v>
      </c>
      <c r="R1234">
        <v>49.93</v>
      </c>
      <c r="S1234">
        <v>0</v>
      </c>
      <c r="T1234">
        <v>0</v>
      </c>
      <c r="U1234">
        <v>6</v>
      </c>
      <c r="V1234">
        <v>0</v>
      </c>
      <c r="X1234">
        <v>55.93</v>
      </c>
    </row>
    <row r="1235" spans="1:24" ht="15">
      <c r="A1235">
        <v>1228</v>
      </c>
      <c r="B1235">
        <v>62618</v>
      </c>
      <c r="C1235" t="s">
        <v>847</v>
      </c>
      <c r="D1235" t="s">
        <v>848</v>
      </c>
      <c r="E1235" t="s">
        <v>80</v>
      </c>
      <c r="F1235" t="str">
        <f>"00621516"</f>
        <v>00621516</v>
      </c>
      <c r="G1235">
        <v>20.93</v>
      </c>
      <c r="H1235">
        <v>0</v>
      </c>
      <c r="I1235">
        <v>0</v>
      </c>
      <c r="J1235">
        <v>28</v>
      </c>
      <c r="K1235">
        <v>28</v>
      </c>
      <c r="N1235">
        <v>3</v>
      </c>
      <c r="O1235">
        <v>3</v>
      </c>
      <c r="P1235">
        <v>4</v>
      </c>
      <c r="Q1235">
        <v>0</v>
      </c>
      <c r="R1235">
        <v>55.93</v>
      </c>
      <c r="S1235">
        <v>0</v>
      </c>
      <c r="T1235">
        <v>0</v>
      </c>
      <c r="U1235">
        <v>0</v>
      </c>
      <c r="V1235">
        <v>0</v>
      </c>
      <c r="X1235">
        <v>55.93</v>
      </c>
    </row>
    <row r="1236" spans="1:24" ht="15">
      <c r="A1236">
        <v>1229</v>
      </c>
      <c r="B1236">
        <v>3274</v>
      </c>
      <c r="C1236" t="s">
        <v>851</v>
      </c>
      <c r="D1236" t="s">
        <v>153</v>
      </c>
      <c r="E1236" t="s">
        <v>375</v>
      </c>
      <c r="F1236" t="str">
        <f>"00022581"</f>
        <v>00022581</v>
      </c>
      <c r="G1236">
        <v>19.9</v>
      </c>
      <c r="H1236">
        <v>0</v>
      </c>
      <c r="I1236">
        <v>0</v>
      </c>
      <c r="J1236">
        <v>20</v>
      </c>
      <c r="K1236">
        <v>20</v>
      </c>
      <c r="L1236">
        <v>7</v>
      </c>
      <c r="M1236">
        <v>5</v>
      </c>
      <c r="O1236">
        <v>12</v>
      </c>
      <c r="P1236">
        <v>4</v>
      </c>
      <c r="Q1236">
        <v>0</v>
      </c>
      <c r="R1236">
        <v>55.9</v>
      </c>
      <c r="S1236">
        <v>0</v>
      </c>
      <c r="T1236">
        <v>0</v>
      </c>
      <c r="U1236">
        <v>0</v>
      </c>
      <c r="V1236">
        <v>0</v>
      </c>
      <c r="X1236">
        <v>55.9</v>
      </c>
    </row>
    <row r="1237" spans="1:24" ht="15">
      <c r="A1237">
        <v>1230</v>
      </c>
      <c r="B1237">
        <v>73948</v>
      </c>
      <c r="C1237" t="s">
        <v>855</v>
      </c>
      <c r="D1237" t="s">
        <v>258</v>
      </c>
      <c r="E1237" t="s">
        <v>91</v>
      </c>
      <c r="F1237" t="str">
        <f>"00466557"</f>
        <v>00466557</v>
      </c>
      <c r="G1237">
        <v>19.85</v>
      </c>
      <c r="H1237">
        <v>0</v>
      </c>
      <c r="I1237">
        <v>0</v>
      </c>
      <c r="J1237">
        <v>20</v>
      </c>
      <c r="K1237">
        <v>20</v>
      </c>
      <c r="L1237">
        <v>7</v>
      </c>
      <c r="M1237">
        <v>5</v>
      </c>
      <c r="O1237">
        <v>12</v>
      </c>
      <c r="P1237">
        <v>4</v>
      </c>
      <c r="Q1237">
        <v>0</v>
      </c>
      <c r="R1237">
        <v>55.85</v>
      </c>
      <c r="S1237">
        <v>0</v>
      </c>
      <c r="T1237">
        <v>0</v>
      </c>
      <c r="U1237">
        <v>0</v>
      </c>
      <c r="V1237">
        <v>0</v>
      </c>
      <c r="X1237">
        <v>55.85</v>
      </c>
    </row>
    <row r="1238" spans="1:24" ht="15">
      <c r="A1238">
        <v>1231</v>
      </c>
      <c r="B1238">
        <v>78992</v>
      </c>
      <c r="C1238" t="s">
        <v>857</v>
      </c>
      <c r="D1238" t="s">
        <v>336</v>
      </c>
      <c r="E1238" t="s">
        <v>135</v>
      </c>
      <c r="F1238" t="str">
        <f>"00645102"</f>
        <v>00645102</v>
      </c>
      <c r="G1238">
        <v>18.78</v>
      </c>
      <c r="H1238">
        <v>0</v>
      </c>
      <c r="I1238">
        <v>0</v>
      </c>
      <c r="J1238">
        <v>20</v>
      </c>
      <c r="K1238">
        <v>20</v>
      </c>
      <c r="L1238">
        <v>7</v>
      </c>
      <c r="O1238">
        <v>7</v>
      </c>
      <c r="P1238">
        <v>4</v>
      </c>
      <c r="Q1238">
        <v>0</v>
      </c>
      <c r="R1238">
        <v>49.78</v>
      </c>
      <c r="S1238">
        <v>0</v>
      </c>
      <c r="T1238">
        <v>0</v>
      </c>
      <c r="U1238">
        <v>6</v>
      </c>
      <c r="V1238">
        <v>0</v>
      </c>
      <c r="X1238">
        <v>55.78</v>
      </c>
    </row>
    <row r="1239" spans="1:24" ht="15">
      <c r="A1239">
        <v>1232</v>
      </c>
      <c r="B1239">
        <v>56544</v>
      </c>
      <c r="C1239" t="s">
        <v>858</v>
      </c>
      <c r="D1239" t="s">
        <v>859</v>
      </c>
      <c r="E1239" t="s">
        <v>135</v>
      </c>
      <c r="F1239" t="str">
        <f>"00507640"</f>
        <v>00507640</v>
      </c>
      <c r="G1239">
        <v>18.78</v>
      </c>
      <c r="H1239">
        <v>0</v>
      </c>
      <c r="I1239">
        <v>0</v>
      </c>
      <c r="J1239">
        <v>28</v>
      </c>
      <c r="K1239">
        <v>28</v>
      </c>
      <c r="M1239">
        <v>5</v>
      </c>
      <c r="O1239">
        <v>5</v>
      </c>
      <c r="P1239">
        <v>4</v>
      </c>
      <c r="Q1239">
        <v>0</v>
      </c>
      <c r="R1239">
        <v>55.78</v>
      </c>
      <c r="S1239">
        <v>0</v>
      </c>
      <c r="T1239">
        <v>0</v>
      </c>
      <c r="U1239">
        <v>0</v>
      </c>
      <c r="V1239">
        <v>0</v>
      </c>
      <c r="X1239">
        <v>55.78</v>
      </c>
    </row>
    <row r="1240" spans="1:24" ht="15">
      <c r="A1240">
        <v>1233</v>
      </c>
      <c r="B1240">
        <v>17589</v>
      </c>
      <c r="C1240" t="s">
        <v>399</v>
      </c>
      <c r="D1240" t="s">
        <v>349</v>
      </c>
      <c r="E1240" t="s">
        <v>83</v>
      </c>
      <c r="F1240" t="str">
        <f>"00294815"</f>
        <v>00294815</v>
      </c>
      <c r="G1240">
        <v>15.95</v>
      </c>
      <c r="H1240">
        <v>0</v>
      </c>
      <c r="I1240">
        <v>0</v>
      </c>
      <c r="J1240">
        <v>0</v>
      </c>
      <c r="K1240">
        <v>0</v>
      </c>
      <c r="N1240">
        <v>3</v>
      </c>
      <c r="O1240">
        <v>3</v>
      </c>
      <c r="P1240">
        <v>4</v>
      </c>
      <c r="Q1240">
        <v>0</v>
      </c>
      <c r="R1240">
        <v>22.95</v>
      </c>
      <c r="S1240">
        <v>0</v>
      </c>
      <c r="T1240">
        <v>0</v>
      </c>
      <c r="U1240">
        <v>6</v>
      </c>
      <c r="V1240">
        <v>26.8</v>
      </c>
      <c r="X1240">
        <v>55.75</v>
      </c>
    </row>
    <row r="1241" spans="1:24" ht="15">
      <c r="A1241">
        <v>1234</v>
      </c>
      <c r="B1241">
        <v>95922</v>
      </c>
      <c r="C1241" t="s">
        <v>867</v>
      </c>
      <c r="D1241" t="s">
        <v>32</v>
      </c>
      <c r="E1241" t="s">
        <v>21</v>
      </c>
      <c r="F1241" t="str">
        <f>"00165752"</f>
        <v>00165752</v>
      </c>
      <c r="G1241">
        <v>21.65</v>
      </c>
      <c r="H1241">
        <v>0</v>
      </c>
      <c r="I1241">
        <v>0</v>
      </c>
      <c r="J1241">
        <v>20</v>
      </c>
      <c r="K1241">
        <v>20</v>
      </c>
      <c r="L1241">
        <v>7</v>
      </c>
      <c r="O1241">
        <v>7</v>
      </c>
      <c r="P1241">
        <v>4</v>
      </c>
      <c r="Q1241">
        <v>0</v>
      </c>
      <c r="R1241">
        <v>52.65</v>
      </c>
      <c r="S1241">
        <v>0</v>
      </c>
      <c r="T1241">
        <v>0</v>
      </c>
      <c r="U1241">
        <v>3</v>
      </c>
      <c r="V1241">
        <v>0</v>
      </c>
      <c r="X1241">
        <v>55.65</v>
      </c>
    </row>
    <row r="1242" spans="1:24" ht="15">
      <c r="A1242">
        <v>1235</v>
      </c>
      <c r="B1242">
        <v>81459</v>
      </c>
      <c r="C1242" t="s">
        <v>872</v>
      </c>
      <c r="D1242" t="s">
        <v>873</v>
      </c>
      <c r="E1242" t="s">
        <v>113</v>
      </c>
      <c r="F1242" t="str">
        <f>"00245591"</f>
        <v>00245591</v>
      </c>
      <c r="G1242">
        <v>23.58</v>
      </c>
      <c r="H1242">
        <v>0</v>
      </c>
      <c r="I1242">
        <v>0</v>
      </c>
      <c r="J1242">
        <v>20</v>
      </c>
      <c r="K1242">
        <v>20</v>
      </c>
      <c r="L1242">
        <v>7</v>
      </c>
      <c r="M1242">
        <v>5</v>
      </c>
      <c r="O1242">
        <v>12</v>
      </c>
      <c r="P1242">
        <v>0</v>
      </c>
      <c r="Q1242">
        <v>0</v>
      </c>
      <c r="R1242">
        <v>55.58</v>
      </c>
      <c r="S1242">
        <v>0</v>
      </c>
      <c r="T1242">
        <v>0</v>
      </c>
      <c r="U1242">
        <v>0</v>
      </c>
      <c r="V1242">
        <v>0</v>
      </c>
      <c r="X1242">
        <v>55.58</v>
      </c>
    </row>
    <row r="1243" spans="1:24" ht="15">
      <c r="A1243">
        <v>1236</v>
      </c>
      <c r="B1243">
        <v>39889</v>
      </c>
      <c r="C1243" t="s">
        <v>874</v>
      </c>
      <c r="D1243" t="s">
        <v>875</v>
      </c>
      <c r="E1243" t="s">
        <v>60</v>
      </c>
      <c r="F1243" t="str">
        <f>"00624933"</f>
        <v>00624933</v>
      </c>
      <c r="G1243">
        <v>19.58</v>
      </c>
      <c r="H1243">
        <v>0</v>
      </c>
      <c r="I1243">
        <v>0</v>
      </c>
      <c r="J1243">
        <v>20</v>
      </c>
      <c r="K1243">
        <v>20</v>
      </c>
      <c r="L1243">
        <v>7</v>
      </c>
      <c r="M1243">
        <v>5</v>
      </c>
      <c r="O1243">
        <v>12</v>
      </c>
      <c r="P1243">
        <v>4</v>
      </c>
      <c r="Q1243">
        <v>0</v>
      </c>
      <c r="R1243">
        <v>55.58</v>
      </c>
      <c r="S1243">
        <v>0</v>
      </c>
      <c r="T1243">
        <v>0</v>
      </c>
      <c r="U1243">
        <v>0</v>
      </c>
      <c r="V1243">
        <v>0</v>
      </c>
      <c r="X1243">
        <v>55.58</v>
      </c>
    </row>
    <row r="1244" spans="1:24" ht="15">
      <c r="A1244">
        <v>1237</v>
      </c>
      <c r="B1244">
        <v>112485</v>
      </c>
      <c r="C1244" t="s">
        <v>876</v>
      </c>
      <c r="D1244" t="s">
        <v>505</v>
      </c>
      <c r="E1244" t="s">
        <v>23</v>
      </c>
      <c r="F1244" t="str">
        <f>"201511041471"</f>
        <v>201511041471</v>
      </c>
      <c r="G1244">
        <v>17.55</v>
      </c>
      <c r="H1244">
        <v>0</v>
      </c>
      <c r="I1244">
        <v>0</v>
      </c>
      <c r="J1244">
        <v>28</v>
      </c>
      <c r="K1244">
        <v>28</v>
      </c>
      <c r="N1244">
        <v>6</v>
      </c>
      <c r="O1244">
        <v>6</v>
      </c>
      <c r="P1244">
        <v>4</v>
      </c>
      <c r="Q1244">
        <v>0</v>
      </c>
      <c r="R1244">
        <v>55.55</v>
      </c>
      <c r="S1244">
        <v>0</v>
      </c>
      <c r="T1244">
        <v>0</v>
      </c>
      <c r="U1244">
        <v>0</v>
      </c>
      <c r="V1244">
        <v>0</v>
      </c>
      <c r="X1244">
        <v>55.55</v>
      </c>
    </row>
    <row r="1245" spans="1:24" ht="15">
      <c r="A1245">
        <v>1238</v>
      </c>
      <c r="B1245">
        <v>85334</v>
      </c>
      <c r="C1245" t="s">
        <v>806</v>
      </c>
      <c r="D1245" t="s">
        <v>90</v>
      </c>
      <c r="E1245" t="s">
        <v>23</v>
      </c>
      <c r="F1245" t="str">
        <f>"00466483"</f>
        <v>00466483</v>
      </c>
      <c r="G1245">
        <v>19.45</v>
      </c>
      <c r="H1245">
        <v>0</v>
      </c>
      <c r="I1245">
        <v>0</v>
      </c>
      <c r="J1245">
        <v>20</v>
      </c>
      <c r="K1245">
        <v>20</v>
      </c>
      <c r="L1245">
        <v>7</v>
      </c>
      <c r="M1245">
        <v>5</v>
      </c>
      <c r="O1245">
        <v>12</v>
      </c>
      <c r="P1245">
        <v>4</v>
      </c>
      <c r="Q1245">
        <v>0</v>
      </c>
      <c r="R1245">
        <v>55.45</v>
      </c>
      <c r="S1245">
        <v>0</v>
      </c>
      <c r="T1245">
        <v>0</v>
      </c>
      <c r="U1245">
        <v>0</v>
      </c>
      <c r="V1245">
        <v>0</v>
      </c>
      <c r="X1245">
        <v>55.45</v>
      </c>
    </row>
    <row r="1246" spans="1:24" ht="15">
      <c r="A1246">
        <v>1239</v>
      </c>
      <c r="B1246">
        <v>30831</v>
      </c>
      <c r="C1246" t="s">
        <v>878</v>
      </c>
      <c r="D1246" t="s">
        <v>95</v>
      </c>
      <c r="E1246" t="s">
        <v>53</v>
      </c>
      <c r="F1246" t="str">
        <f>"00524207"</f>
        <v>00524207</v>
      </c>
      <c r="G1246">
        <v>16.4</v>
      </c>
      <c r="H1246">
        <v>0</v>
      </c>
      <c r="I1246">
        <v>0</v>
      </c>
      <c r="J1246">
        <v>28</v>
      </c>
      <c r="K1246">
        <v>28</v>
      </c>
      <c r="L1246">
        <v>7</v>
      </c>
      <c r="O1246">
        <v>7</v>
      </c>
      <c r="P1246">
        <v>4</v>
      </c>
      <c r="Q1246">
        <v>0</v>
      </c>
      <c r="R1246">
        <v>55.4</v>
      </c>
      <c r="S1246">
        <v>0</v>
      </c>
      <c r="T1246">
        <v>0</v>
      </c>
      <c r="U1246">
        <v>0</v>
      </c>
      <c r="V1246">
        <v>0</v>
      </c>
      <c r="X1246">
        <v>55.4</v>
      </c>
    </row>
    <row r="1247" spans="1:24" ht="15">
      <c r="A1247">
        <v>1240</v>
      </c>
      <c r="B1247">
        <v>65976</v>
      </c>
      <c r="C1247" t="s">
        <v>880</v>
      </c>
      <c r="D1247" t="s">
        <v>124</v>
      </c>
      <c r="E1247" t="s">
        <v>881</v>
      </c>
      <c r="F1247" t="str">
        <f>"00620121"</f>
        <v>00620121</v>
      </c>
      <c r="G1247">
        <v>21.35</v>
      </c>
      <c r="H1247">
        <v>7</v>
      </c>
      <c r="I1247">
        <v>0</v>
      </c>
      <c r="J1247">
        <v>20</v>
      </c>
      <c r="K1247">
        <v>20</v>
      </c>
      <c r="L1247">
        <v>7</v>
      </c>
      <c r="O1247">
        <v>7</v>
      </c>
      <c r="P1247">
        <v>0</v>
      </c>
      <c r="Q1247">
        <v>0</v>
      </c>
      <c r="R1247">
        <v>55.35</v>
      </c>
      <c r="S1247">
        <v>0</v>
      </c>
      <c r="T1247">
        <v>0</v>
      </c>
      <c r="U1247">
        <v>0</v>
      </c>
      <c r="V1247">
        <v>0</v>
      </c>
      <c r="X1247">
        <v>55.35</v>
      </c>
    </row>
    <row r="1248" spans="1:24" ht="15">
      <c r="A1248">
        <v>1241</v>
      </c>
      <c r="B1248">
        <v>54364</v>
      </c>
      <c r="C1248" t="s">
        <v>883</v>
      </c>
      <c r="D1248" t="s">
        <v>301</v>
      </c>
      <c r="E1248" t="s">
        <v>12</v>
      </c>
      <c r="F1248" t="str">
        <f>"00178737"</f>
        <v>00178737</v>
      </c>
      <c r="G1248">
        <v>17.28</v>
      </c>
      <c r="H1248">
        <v>0</v>
      </c>
      <c r="I1248">
        <v>0</v>
      </c>
      <c r="J1248">
        <v>28</v>
      </c>
      <c r="K1248">
        <v>28</v>
      </c>
      <c r="L1248">
        <v>7</v>
      </c>
      <c r="O1248">
        <v>7</v>
      </c>
      <c r="P1248">
        <v>0</v>
      </c>
      <c r="Q1248">
        <v>0</v>
      </c>
      <c r="R1248">
        <v>52.28</v>
      </c>
      <c r="S1248">
        <v>0</v>
      </c>
      <c r="T1248">
        <v>0</v>
      </c>
      <c r="U1248">
        <v>3</v>
      </c>
      <c r="V1248">
        <v>0</v>
      </c>
      <c r="X1248">
        <v>55.28</v>
      </c>
    </row>
    <row r="1249" spans="1:24" ht="15">
      <c r="A1249">
        <v>1242</v>
      </c>
      <c r="B1249">
        <v>105424</v>
      </c>
      <c r="C1249" t="s">
        <v>884</v>
      </c>
      <c r="D1249" t="s">
        <v>27</v>
      </c>
      <c r="E1249" t="s">
        <v>91</v>
      </c>
      <c r="F1249" t="str">
        <f>"00634596"</f>
        <v>00634596</v>
      </c>
      <c r="G1249">
        <v>20.28</v>
      </c>
      <c r="H1249">
        <v>0</v>
      </c>
      <c r="I1249">
        <v>0</v>
      </c>
      <c r="J1249">
        <v>28</v>
      </c>
      <c r="K1249">
        <v>28</v>
      </c>
      <c r="N1249">
        <v>3</v>
      </c>
      <c r="O1249">
        <v>3</v>
      </c>
      <c r="P1249">
        <v>4</v>
      </c>
      <c r="Q1249">
        <v>0</v>
      </c>
      <c r="R1249">
        <v>55.28</v>
      </c>
      <c r="S1249">
        <v>0</v>
      </c>
      <c r="T1249">
        <v>0</v>
      </c>
      <c r="U1249">
        <v>0</v>
      </c>
      <c r="V1249">
        <v>0</v>
      </c>
      <c r="X1249">
        <v>55.28</v>
      </c>
    </row>
    <row r="1250" spans="1:24" ht="15">
      <c r="A1250">
        <v>1243</v>
      </c>
      <c r="B1250">
        <v>11354</v>
      </c>
      <c r="C1250" t="s">
        <v>885</v>
      </c>
      <c r="D1250" t="s">
        <v>728</v>
      </c>
      <c r="E1250" t="s">
        <v>44</v>
      </c>
      <c r="F1250" t="str">
        <f>"00563660"</f>
        <v>00563660</v>
      </c>
      <c r="G1250">
        <v>16.25</v>
      </c>
      <c r="H1250">
        <v>0</v>
      </c>
      <c r="I1250">
        <v>0</v>
      </c>
      <c r="J1250">
        <v>20</v>
      </c>
      <c r="K1250">
        <v>20</v>
      </c>
      <c r="N1250">
        <v>3</v>
      </c>
      <c r="O1250">
        <v>3</v>
      </c>
      <c r="P1250">
        <v>4</v>
      </c>
      <c r="Q1250">
        <v>0</v>
      </c>
      <c r="R1250">
        <v>43.25</v>
      </c>
      <c r="S1250">
        <v>0</v>
      </c>
      <c r="T1250">
        <v>0</v>
      </c>
      <c r="U1250">
        <v>12</v>
      </c>
      <c r="V1250">
        <v>0</v>
      </c>
      <c r="X1250">
        <v>55.25</v>
      </c>
    </row>
    <row r="1251" spans="1:24" ht="15">
      <c r="A1251">
        <v>1244</v>
      </c>
      <c r="B1251">
        <v>33261</v>
      </c>
      <c r="C1251" t="s">
        <v>888</v>
      </c>
      <c r="D1251" t="s">
        <v>37</v>
      </c>
      <c r="E1251" t="s">
        <v>12</v>
      </c>
      <c r="F1251" t="str">
        <f>"00616540"</f>
        <v>00616540</v>
      </c>
      <c r="G1251">
        <v>21.25</v>
      </c>
      <c r="H1251">
        <v>0</v>
      </c>
      <c r="I1251">
        <v>0</v>
      </c>
      <c r="J1251">
        <v>20</v>
      </c>
      <c r="K1251">
        <v>20</v>
      </c>
      <c r="L1251">
        <v>7</v>
      </c>
      <c r="N1251">
        <v>3</v>
      </c>
      <c r="O1251">
        <v>10</v>
      </c>
      <c r="P1251">
        <v>4</v>
      </c>
      <c r="Q1251">
        <v>0</v>
      </c>
      <c r="R1251">
        <v>55.25</v>
      </c>
      <c r="S1251">
        <v>0</v>
      </c>
      <c r="T1251">
        <v>0</v>
      </c>
      <c r="U1251">
        <v>0</v>
      </c>
      <c r="V1251">
        <v>0</v>
      </c>
      <c r="X1251">
        <v>55.25</v>
      </c>
    </row>
    <row r="1252" spans="1:24" ht="15">
      <c r="A1252">
        <v>1245</v>
      </c>
      <c r="B1252">
        <v>51139</v>
      </c>
      <c r="C1252" t="s">
        <v>889</v>
      </c>
      <c r="D1252" t="s">
        <v>168</v>
      </c>
      <c r="E1252" t="s">
        <v>563</v>
      </c>
      <c r="F1252" t="str">
        <f>"00464360"</f>
        <v>00464360</v>
      </c>
      <c r="G1252">
        <v>15.18</v>
      </c>
      <c r="H1252">
        <v>0</v>
      </c>
      <c r="I1252">
        <v>0</v>
      </c>
      <c r="J1252">
        <v>20</v>
      </c>
      <c r="K1252">
        <v>20</v>
      </c>
      <c r="L1252">
        <v>7</v>
      </c>
      <c r="N1252">
        <v>3</v>
      </c>
      <c r="O1252">
        <v>10</v>
      </c>
      <c r="P1252">
        <v>4</v>
      </c>
      <c r="Q1252">
        <v>0</v>
      </c>
      <c r="R1252">
        <v>49.18</v>
      </c>
      <c r="S1252">
        <v>0</v>
      </c>
      <c r="T1252">
        <v>0</v>
      </c>
      <c r="U1252">
        <v>6</v>
      </c>
      <c r="V1252">
        <v>0</v>
      </c>
      <c r="X1252">
        <v>55.18</v>
      </c>
    </row>
    <row r="1253" spans="1:24" ht="15">
      <c r="A1253">
        <v>1246</v>
      </c>
      <c r="B1253">
        <v>71005</v>
      </c>
      <c r="C1253" t="s">
        <v>892</v>
      </c>
      <c r="D1253" t="s">
        <v>109</v>
      </c>
      <c r="E1253" t="s">
        <v>113</v>
      </c>
      <c r="F1253" t="str">
        <f>"00147561"</f>
        <v>00147561</v>
      </c>
      <c r="G1253">
        <v>17.15</v>
      </c>
      <c r="H1253">
        <v>0</v>
      </c>
      <c r="I1253">
        <v>0</v>
      </c>
      <c r="J1253">
        <v>28</v>
      </c>
      <c r="K1253">
        <v>28</v>
      </c>
      <c r="N1253">
        <v>3</v>
      </c>
      <c r="O1253">
        <v>3</v>
      </c>
      <c r="P1253">
        <v>4</v>
      </c>
      <c r="Q1253">
        <v>0</v>
      </c>
      <c r="R1253">
        <v>52.15</v>
      </c>
      <c r="S1253">
        <v>0</v>
      </c>
      <c r="T1253">
        <v>0</v>
      </c>
      <c r="U1253">
        <v>3</v>
      </c>
      <c r="V1253">
        <v>0</v>
      </c>
      <c r="X1253">
        <v>55.15</v>
      </c>
    </row>
    <row r="1254" spans="1:24" ht="15">
      <c r="A1254">
        <v>1247</v>
      </c>
      <c r="B1254">
        <v>108024</v>
      </c>
      <c r="C1254" t="s">
        <v>893</v>
      </c>
      <c r="D1254" t="s">
        <v>894</v>
      </c>
      <c r="E1254" t="s">
        <v>17</v>
      </c>
      <c r="F1254" t="str">
        <f>"00349335"</f>
        <v>00349335</v>
      </c>
      <c r="G1254">
        <v>21.1</v>
      </c>
      <c r="H1254">
        <v>0</v>
      </c>
      <c r="I1254">
        <v>0</v>
      </c>
      <c r="J1254">
        <v>20</v>
      </c>
      <c r="K1254">
        <v>20</v>
      </c>
      <c r="L1254">
        <v>7</v>
      </c>
      <c r="N1254">
        <v>3</v>
      </c>
      <c r="O1254">
        <v>10</v>
      </c>
      <c r="P1254">
        <v>4</v>
      </c>
      <c r="Q1254">
        <v>0</v>
      </c>
      <c r="R1254">
        <v>55.1</v>
      </c>
      <c r="S1254">
        <v>0</v>
      </c>
      <c r="T1254">
        <v>0</v>
      </c>
      <c r="U1254">
        <v>0</v>
      </c>
      <c r="V1254">
        <v>0</v>
      </c>
      <c r="X1254">
        <v>55.1</v>
      </c>
    </row>
    <row r="1255" spans="1:24" ht="15">
      <c r="A1255">
        <v>1248</v>
      </c>
      <c r="B1255">
        <v>101401</v>
      </c>
      <c r="C1255" t="s">
        <v>899</v>
      </c>
      <c r="D1255" t="s">
        <v>188</v>
      </c>
      <c r="E1255" t="s">
        <v>12</v>
      </c>
      <c r="F1255" t="str">
        <f>"00648189"</f>
        <v>00648189</v>
      </c>
      <c r="G1255">
        <v>20.98</v>
      </c>
      <c r="H1255">
        <v>0</v>
      </c>
      <c r="I1255">
        <v>0</v>
      </c>
      <c r="J1255">
        <v>20</v>
      </c>
      <c r="K1255">
        <v>20</v>
      </c>
      <c r="L1255">
        <v>7</v>
      </c>
      <c r="N1255">
        <v>3</v>
      </c>
      <c r="O1255">
        <v>10</v>
      </c>
      <c r="P1255">
        <v>4</v>
      </c>
      <c r="Q1255">
        <v>0</v>
      </c>
      <c r="R1255">
        <v>54.98</v>
      </c>
      <c r="S1255">
        <v>0</v>
      </c>
      <c r="T1255">
        <v>0</v>
      </c>
      <c r="U1255">
        <v>0</v>
      </c>
      <c r="V1255">
        <v>0</v>
      </c>
      <c r="X1255">
        <v>54.98</v>
      </c>
    </row>
    <row r="1256" spans="1:24" ht="15">
      <c r="A1256">
        <v>1249</v>
      </c>
      <c r="B1256">
        <v>81291</v>
      </c>
      <c r="C1256" t="s">
        <v>900</v>
      </c>
      <c r="D1256" t="s">
        <v>29</v>
      </c>
      <c r="E1256" t="s">
        <v>30</v>
      </c>
      <c r="F1256" t="str">
        <f>"00530565"</f>
        <v>00530565</v>
      </c>
      <c r="G1256">
        <v>16.9</v>
      </c>
      <c r="H1256">
        <v>0</v>
      </c>
      <c r="I1256">
        <v>0</v>
      </c>
      <c r="J1256">
        <v>28</v>
      </c>
      <c r="K1256">
        <v>28</v>
      </c>
      <c r="N1256">
        <v>3</v>
      </c>
      <c r="O1256">
        <v>3</v>
      </c>
      <c r="P1256">
        <v>4</v>
      </c>
      <c r="Q1256">
        <v>0</v>
      </c>
      <c r="R1256">
        <v>51.9</v>
      </c>
      <c r="S1256">
        <v>0</v>
      </c>
      <c r="T1256">
        <v>0</v>
      </c>
      <c r="U1256">
        <v>3</v>
      </c>
      <c r="V1256">
        <v>0</v>
      </c>
      <c r="X1256">
        <v>54.9</v>
      </c>
    </row>
    <row r="1257" spans="1:24" ht="15">
      <c r="A1257">
        <v>1250</v>
      </c>
      <c r="B1257">
        <v>93725</v>
      </c>
      <c r="C1257" t="s">
        <v>903</v>
      </c>
      <c r="D1257" t="s">
        <v>75</v>
      </c>
      <c r="E1257" t="s">
        <v>76</v>
      </c>
      <c r="F1257" t="str">
        <f>"201504004169"</f>
        <v>201504004169</v>
      </c>
      <c r="G1257">
        <v>15.78</v>
      </c>
      <c r="H1257">
        <v>0</v>
      </c>
      <c r="I1257">
        <v>0</v>
      </c>
      <c r="J1257">
        <v>28</v>
      </c>
      <c r="K1257">
        <v>28</v>
      </c>
      <c r="L1257">
        <v>7</v>
      </c>
      <c r="O1257">
        <v>7</v>
      </c>
      <c r="P1257">
        <v>4</v>
      </c>
      <c r="Q1257">
        <v>0</v>
      </c>
      <c r="R1257">
        <v>54.78</v>
      </c>
      <c r="S1257">
        <v>0</v>
      </c>
      <c r="T1257">
        <v>0</v>
      </c>
      <c r="U1257">
        <v>0</v>
      </c>
      <c r="V1257">
        <v>0</v>
      </c>
      <c r="X1257">
        <v>54.78</v>
      </c>
    </row>
    <row r="1258" spans="1:24" ht="15">
      <c r="A1258">
        <v>1251</v>
      </c>
      <c r="B1258">
        <v>82438</v>
      </c>
      <c r="C1258" t="s">
        <v>904</v>
      </c>
      <c r="D1258" t="s">
        <v>80</v>
      </c>
      <c r="E1258" t="s">
        <v>12</v>
      </c>
      <c r="F1258" t="str">
        <f>"200712004041"</f>
        <v>200712004041</v>
      </c>
      <c r="G1258">
        <v>14.75</v>
      </c>
      <c r="H1258">
        <v>0</v>
      </c>
      <c r="I1258">
        <v>0</v>
      </c>
      <c r="J1258">
        <v>20</v>
      </c>
      <c r="K1258">
        <v>20</v>
      </c>
      <c r="L1258">
        <v>7</v>
      </c>
      <c r="O1258">
        <v>7</v>
      </c>
      <c r="P1258">
        <v>4</v>
      </c>
      <c r="Q1258">
        <v>0</v>
      </c>
      <c r="R1258">
        <v>45.75</v>
      </c>
      <c r="S1258">
        <v>0</v>
      </c>
      <c r="T1258">
        <v>0</v>
      </c>
      <c r="U1258">
        <v>9</v>
      </c>
      <c r="V1258">
        <v>0</v>
      </c>
      <c r="X1258">
        <v>54.75</v>
      </c>
    </row>
    <row r="1259" spans="1:24" ht="15">
      <c r="A1259">
        <v>1252</v>
      </c>
      <c r="B1259">
        <v>108525</v>
      </c>
      <c r="C1259" t="s">
        <v>905</v>
      </c>
      <c r="D1259" t="s">
        <v>50</v>
      </c>
      <c r="E1259" t="s">
        <v>713</v>
      </c>
      <c r="F1259" t="str">
        <f>"00025208"</f>
        <v>00025208</v>
      </c>
      <c r="G1259">
        <v>16.75</v>
      </c>
      <c r="H1259">
        <v>0</v>
      </c>
      <c r="I1259">
        <v>0</v>
      </c>
      <c r="J1259">
        <v>28</v>
      </c>
      <c r="K1259">
        <v>28</v>
      </c>
      <c r="N1259">
        <v>3</v>
      </c>
      <c r="O1259">
        <v>3</v>
      </c>
      <c r="P1259">
        <v>4</v>
      </c>
      <c r="Q1259">
        <v>0</v>
      </c>
      <c r="R1259">
        <v>51.75</v>
      </c>
      <c r="S1259">
        <v>0</v>
      </c>
      <c r="T1259">
        <v>0</v>
      </c>
      <c r="U1259">
        <v>3</v>
      </c>
      <c r="V1259">
        <v>0</v>
      </c>
      <c r="X1259">
        <v>54.75</v>
      </c>
    </row>
    <row r="1260" spans="1:24" ht="15">
      <c r="A1260">
        <v>1253</v>
      </c>
      <c r="B1260">
        <v>6068</v>
      </c>
      <c r="C1260" t="s">
        <v>906</v>
      </c>
      <c r="D1260" t="s">
        <v>155</v>
      </c>
      <c r="E1260" t="s">
        <v>614</v>
      </c>
      <c r="F1260" t="str">
        <f>"201602000441"</f>
        <v>201602000441</v>
      </c>
      <c r="G1260">
        <v>16.73</v>
      </c>
      <c r="H1260">
        <v>7</v>
      </c>
      <c r="I1260">
        <v>0</v>
      </c>
      <c r="J1260">
        <v>20</v>
      </c>
      <c r="K1260">
        <v>20</v>
      </c>
      <c r="L1260">
        <v>7</v>
      </c>
      <c r="O1260">
        <v>7</v>
      </c>
      <c r="P1260">
        <v>4</v>
      </c>
      <c r="Q1260">
        <v>0</v>
      </c>
      <c r="R1260">
        <v>54.73</v>
      </c>
      <c r="S1260">
        <v>0</v>
      </c>
      <c r="T1260">
        <v>0</v>
      </c>
      <c r="U1260">
        <v>0</v>
      </c>
      <c r="V1260">
        <v>0</v>
      </c>
      <c r="X1260">
        <v>54.73</v>
      </c>
    </row>
    <row r="1261" spans="1:24" ht="15">
      <c r="A1261">
        <v>1254</v>
      </c>
      <c r="B1261">
        <v>29465</v>
      </c>
      <c r="C1261" t="s">
        <v>907</v>
      </c>
      <c r="D1261" t="s">
        <v>122</v>
      </c>
      <c r="E1261" t="s">
        <v>17</v>
      </c>
      <c r="F1261" t="str">
        <f>"00621884"</f>
        <v>00621884</v>
      </c>
      <c r="G1261">
        <v>16.7</v>
      </c>
      <c r="H1261">
        <v>0</v>
      </c>
      <c r="I1261">
        <v>0</v>
      </c>
      <c r="J1261">
        <v>28</v>
      </c>
      <c r="K1261">
        <v>28</v>
      </c>
      <c r="N1261">
        <v>3</v>
      </c>
      <c r="O1261">
        <v>3</v>
      </c>
      <c r="P1261">
        <v>4</v>
      </c>
      <c r="Q1261">
        <v>0</v>
      </c>
      <c r="R1261">
        <v>51.7</v>
      </c>
      <c r="S1261">
        <v>0</v>
      </c>
      <c r="T1261">
        <v>0</v>
      </c>
      <c r="U1261">
        <v>3</v>
      </c>
      <c r="V1261">
        <v>0</v>
      </c>
      <c r="X1261">
        <v>54.7</v>
      </c>
    </row>
    <row r="1262" spans="1:24" ht="15">
      <c r="A1262">
        <v>1255</v>
      </c>
      <c r="B1262">
        <v>69321</v>
      </c>
      <c r="C1262" t="s">
        <v>592</v>
      </c>
      <c r="D1262" t="s">
        <v>122</v>
      </c>
      <c r="E1262" t="s">
        <v>51</v>
      </c>
      <c r="F1262" t="str">
        <f>"00148256"</f>
        <v>00148256</v>
      </c>
      <c r="G1262">
        <v>20.7</v>
      </c>
      <c r="H1262">
        <v>0</v>
      </c>
      <c r="I1262">
        <v>0</v>
      </c>
      <c r="J1262">
        <v>20</v>
      </c>
      <c r="K1262">
        <v>20</v>
      </c>
      <c r="L1262">
        <v>7</v>
      </c>
      <c r="N1262">
        <v>3</v>
      </c>
      <c r="O1262">
        <v>10</v>
      </c>
      <c r="P1262">
        <v>4</v>
      </c>
      <c r="Q1262">
        <v>0</v>
      </c>
      <c r="R1262">
        <v>54.7</v>
      </c>
      <c r="S1262">
        <v>0</v>
      </c>
      <c r="T1262">
        <v>0</v>
      </c>
      <c r="U1262">
        <v>0</v>
      </c>
      <c r="V1262">
        <v>0</v>
      </c>
      <c r="X1262">
        <v>54.7</v>
      </c>
    </row>
    <row r="1263" spans="1:24" ht="15">
      <c r="A1263">
        <v>1256</v>
      </c>
      <c r="B1263">
        <v>52213</v>
      </c>
      <c r="C1263" t="s">
        <v>909</v>
      </c>
      <c r="D1263" t="s">
        <v>603</v>
      </c>
      <c r="E1263" t="s">
        <v>587</v>
      </c>
      <c r="F1263" t="str">
        <f>"00563840"</f>
        <v>00563840</v>
      </c>
      <c r="G1263">
        <v>20.63</v>
      </c>
      <c r="H1263">
        <v>0</v>
      </c>
      <c r="I1263">
        <v>0</v>
      </c>
      <c r="J1263">
        <v>20</v>
      </c>
      <c r="K1263">
        <v>20</v>
      </c>
      <c r="L1263">
        <v>7</v>
      </c>
      <c r="N1263">
        <v>3</v>
      </c>
      <c r="O1263">
        <v>10</v>
      </c>
      <c r="P1263">
        <v>4</v>
      </c>
      <c r="Q1263">
        <v>0</v>
      </c>
      <c r="R1263">
        <v>54.63</v>
      </c>
      <c r="S1263">
        <v>0</v>
      </c>
      <c r="T1263">
        <v>0</v>
      </c>
      <c r="U1263">
        <v>0</v>
      </c>
      <c r="V1263">
        <v>0</v>
      </c>
      <c r="X1263">
        <v>54.63</v>
      </c>
    </row>
    <row r="1264" spans="1:24" ht="15">
      <c r="A1264">
        <v>1257</v>
      </c>
      <c r="B1264">
        <v>67586</v>
      </c>
      <c r="C1264" t="s">
        <v>910</v>
      </c>
      <c r="D1264" t="s">
        <v>75</v>
      </c>
      <c r="E1264" t="s">
        <v>911</v>
      </c>
      <c r="F1264" t="str">
        <f>"00626489"</f>
        <v>00626489</v>
      </c>
      <c r="G1264">
        <v>20.55</v>
      </c>
      <c r="H1264">
        <v>0</v>
      </c>
      <c r="I1264">
        <v>0</v>
      </c>
      <c r="J1264">
        <v>20</v>
      </c>
      <c r="K1264">
        <v>20</v>
      </c>
      <c r="L1264">
        <v>7</v>
      </c>
      <c r="N1264">
        <v>3</v>
      </c>
      <c r="O1264">
        <v>10</v>
      </c>
      <c r="P1264">
        <v>4</v>
      </c>
      <c r="Q1264">
        <v>0</v>
      </c>
      <c r="R1264">
        <v>54.55</v>
      </c>
      <c r="S1264">
        <v>0</v>
      </c>
      <c r="T1264">
        <v>0</v>
      </c>
      <c r="U1264">
        <v>0</v>
      </c>
      <c r="V1264">
        <v>0</v>
      </c>
      <c r="X1264">
        <v>54.55</v>
      </c>
    </row>
    <row r="1265" spans="1:24" ht="15">
      <c r="A1265">
        <v>1258</v>
      </c>
      <c r="B1265">
        <v>103530</v>
      </c>
      <c r="C1265" t="s">
        <v>912</v>
      </c>
      <c r="D1265" t="s">
        <v>16</v>
      </c>
      <c r="E1265" t="s">
        <v>353</v>
      </c>
      <c r="F1265" t="str">
        <f>"00650076"</f>
        <v>00650076</v>
      </c>
      <c r="G1265">
        <v>19.55</v>
      </c>
      <c r="H1265">
        <v>0</v>
      </c>
      <c r="I1265">
        <v>0</v>
      </c>
      <c r="J1265">
        <v>28</v>
      </c>
      <c r="K1265">
        <v>28</v>
      </c>
      <c r="N1265">
        <v>3</v>
      </c>
      <c r="O1265">
        <v>3</v>
      </c>
      <c r="P1265">
        <v>4</v>
      </c>
      <c r="Q1265">
        <v>0</v>
      </c>
      <c r="R1265">
        <v>54.55</v>
      </c>
      <c r="S1265">
        <v>0</v>
      </c>
      <c r="T1265">
        <v>0</v>
      </c>
      <c r="U1265">
        <v>0</v>
      </c>
      <c r="V1265">
        <v>0</v>
      </c>
      <c r="X1265">
        <v>54.55</v>
      </c>
    </row>
    <row r="1266" spans="1:24" ht="15">
      <c r="A1266">
        <v>1259</v>
      </c>
      <c r="B1266">
        <v>5239</v>
      </c>
      <c r="C1266" t="s">
        <v>913</v>
      </c>
      <c r="D1266" t="s">
        <v>97</v>
      </c>
      <c r="E1266" t="s">
        <v>12</v>
      </c>
      <c r="F1266" t="str">
        <f>"201409000670"</f>
        <v>201409000670</v>
      </c>
      <c r="G1266">
        <v>18.55</v>
      </c>
      <c r="H1266">
        <v>0</v>
      </c>
      <c r="I1266">
        <v>0</v>
      </c>
      <c r="J1266">
        <v>20</v>
      </c>
      <c r="K1266">
        <v>20</v>
      </c>
      <c r="L1266">
        <v>7</v>
      </c>
      <c r="M1266">
        <v>5</v>
      </c>
      <c r="O1266">
        <v>12</v>
      </c>
      <c r="P1266">
        <v>4</v>
      </c>
      <c r="Q1266">
        <v>0</v>
      </c>
      <c r="R1266">
        <v>54.55</v>
      </c>
      <c r="S1266">
        <v>0</v>
      </c>
      <c r="T1266">
        <v>0</v>
      </c>
      <c r="U1266">
        <v>0</v>
      </c>
      <c r="V1266">
        <v>0</v>
      </c>
      <c r="X1266">
        <v>54.55</v>
      </c>
    </row>
    <row r="1267" spans="1:24" ht="15">
      <c r="A1267">
        <v>1260</v>
      </c>
      <c r="B1267">
        <v>110880</v>
      </c>
      <c r="C1267" t="s">
        <v>914</v>
      </c>
      <c r="D1267" t="s">
        <v>363</v>
      </c>
      <c r="E1267" t="s">
        <v>80</v>
      </c>
      <c r="F1267" t="str">
        <f>"00462959"</f>
        <v>00462959</v>
      </c>
      <c r="G1267">
        <v>18.53</v>
      </c>
      <c r="H1267">
        <v>0</v>
      </c>
      <c r="I1267">
        <v>0</v>
      </c>
      <c r="J1267">
        <v>20</v>
      </c>
      <c r="K1267">
        <v>20</v>
      </c>
      <c r="L1267">
        <v>7</v>
      </c>
      <c r="M1267">
        <v>5</v>
      </c>
      <c r="O1267">
        <v>12</v>
      </c>
      <c r="P1267">
        <v>4</v>
      </c>
      <c r="Q1267">
        <v>0</v>
      </c>
      <c r="R1267">
        <v>54.53</v>
      </c>
      <c r="S1267">
        <v>0</v>
      </c>
      <c r="T1267">
        <v>0</v>
      </c>
      <c r="U1267">
        <v>0</v>
      </c>
      <c r="V1267">
        <v>0</v>
      </c>
      <c r="X1267">
        <v>54.53</v>
      </c>
    </row>
    <row r="1268" spans="1:24" ht="15">
      <c r="A1268">
        <v>1261</v>
      </c>
      <c r="B1268">
        <v>85097</v>
      </c>
      <c r="C1268" t="s">
        <v>921</v>
      </c>
      <c r="D1268" t="s">
        <v>922</v>
      </c>
      <c r="E1268" t="s">
        <v>91</v>
      </c>
      <c r="F1268" t="str">
        <f>"00157955"</f>
        <v>00157955</v>
      </c>
      <c r="G1268">
        <v>16.45</v>
      </c>
      <c r="H1268">
        <v>0</v>
      </c>
      <c r="I1268">
        <v>0</v>
      </c>
      <c r="J1268">
        <v>20</v>
      </c>
      <c r="K1268">
        <v>20</v>
      </c>
      <c r="M1268">
        <v>5</v>
      </c>
      <c r="O1268">
        <v>5</v>
      </c>
      <c r="P1268">
        <v>4</v>
      </c>
      <c r="Q1268">
        <v>0</v>
      </c>
      <c r="R1268">
        <v>45.45</v>
      </c>
      <c r="S1268">
        <v>0</v>
      </c>
      <c r="T1268">
        <v>0</v>
      </c>
      <c r="U1268">
        <v>9</v>
      </c>
      <c r="V1268">
        <v>0</v>
      </c>
      <c r="X1268">
        <v>54.45</v>
      </c>
    </row>
    <row r="1269" spans="1:24" ht="15">
      <c r="A1269">
        <v>1262</v>
      </c>
      <c r="B1269">
        <v>100508</v>
      </c>
      <c r="C1269" t="s">
        <v>506</v>
      </c>
      <c r="D1269" t="s">
        <v>41</v>
      </c>
      <c r="E1269" t="s">
        <v>17</v>
      </c>
      <c r="F1269" t="str">
        <f>"00452372"</f>
        <v>00452372</v>
      </c>
      <c r="G1269">
        <v>20.45</v>
      </c>
      <c r="H1269">
        <v>0</v>
      </c>
      <c r="I1269">
        <v>0</v>
      </c>
      <c r="J1269">
        <v>20</v>
      </c>
      <c r="K1269">
        <v>20</v>
      </c>
      <c r="L1269">
        <v>7</v>
      </c>
      <c r="N1269">
        <v>3</v>
      </c>
      <c r="O1269">
        <v>10</v>
      </c>
      <c r="P1269">
        <v>4</v>
      </c>
      <c r="Q1269">
        <v>0</v>
      </c>
      <c r="R1269">
        <v>54.45</v>
      </c>
      <c r="S1269">
        <v>0</v>
      </c>
      <c r="T1269">
        <v>0</v>
      </c>
      <c r="U1269">
        <v>0</v>
      </c>
      <c r="V1269">
        <v>0</v>
      </c>
      <c r="X1269">
        <v>54.45</v>
      </c>
    </row>
    <row r="1270" spans="1:24" ht="15">
      <c r="A1270">
        <v>1263</v>
      </c>
      <c r="B1270">
        <v>87760</v>
      </c>
      <c r="C1270" t="s">
        <v>923</v>
      </c>
      <c r="D1270" t="s">
        <v>305</v>
      </c>
      <c r="E1270" t="s">
        <v>80</v>
      </c>
      <c r="F1270" t="str">
        <f>"00638560"</f>
        <v>00638560</v>
      </c>
      <c r="G1270">
        <v>20.4</v>
      </c>
      <c r="H1270">
        <v>0</v>
      </c>
      <c r="I1270">
        <v>0</v>
      </c>
      <c r="J1270">
        <v>20</v>
      </c>
      <c r="K1270">
        <v>20</v>
      </c>
      <c r="L1270">
        <v>7</v>
      </c>
      <c r="N1270">
        <v>3</v>
      </c>
      <c r="O1270">
        <v>10</v>
      </c>
      <c r="P1270">
        <v>4</v>
      </c>
      <c r="Q1270">
        <v>0</v>
      </c>
      <c r="R1270">
        <v>54.4</v>
      </c>
      <c r="S1270">
        <v>0</v>
      </c>
      <c r="T1270">
        <v>0</v>
      </c>
      <c r="U1270">
        <v>0</v>
      </c>
      <c r="V1270">
        <v>0</v>
      </c>
      <c r="X1270">
        <v>54.4</v>
      </c>
    </row>
    <row r="1271" spans="1:24" ht="15">
      <c r="A1271">
        <v>1264</v>
      </c>
      <c r="B1271">
        <v>89926</v>
      </c>
      <c r="C1271" t="s">
        <v>924</v>
      </c>
      <c r="D1271" t="s">
        <v>527</v>
      </c>
      <c r="E1271" t="s">
        <v>21</v>
      </c>
      <c r="F1271" t="str">
        <f>"200802006623"</f>
        <v>200802006623</v>
      </c>
      <c r="G1271">
        <v>17.35</v>
      </c>
      <c r="H1271">
        <v>0</v>
      </c>
      <c r="I1271">
        <v>0</v>
      </c>
      <c r="J1271">
        <v>20</v>
      </c>
      <c r="K1271">
        <v>20</v>
      </c>
      <c r="L1271">
        <v>7</v>
      </c>
      <c r="O1271">
        <v>7</v>
      </c>
      <c r="P1271">
        <v>4</v>
      </c>
      <c r="Q1271">
        <v>0</v>
      </c>
      <c r="R1271">
        <v>48.35</v>
      </c>
      <c r="S1271">
        <v>0</v>
      </c>
      <c r="T1271">
        <v>0</v>
      </c>
      <c r="U1271">
        <v>6</v>
      </c>
      <c r="V1271">
        <v>0</v>
      </c>
      <c r="X1271">
        <v>54.35</v>
      </c>
    </row>
    <row r="1272" spans="1:24" ht="15">
      <c r="A1272">
        <v>1265</v>
      </c>
      <c r="B1272">
        <v>29709</v>
      </c>
      <c r="C1272" t="s">
        <v>925</v>
      </c>
      <c r="D1272" t="s">
        <v>349</v>
      </c>
      <c r="E1272" t="s">
        <v>27</v>
      </c>
      <c r="F1272" t="str">
        <f>"00170047"</f>
        <v>00170047</v>
      </c>
      <c r="G1272">
        <v>17.35</v>
      </c>
      <c r="H1272">
        <v>0</v>
      </c>
      <c r="I1272">
        <v>0</v>
      </c>
      <c r="J1272">
        <v>20</v>
      </c>
      <c r="K1272">
        <v>20</v>
      </c>
      <c r="L1272">
        <v>7</v>
      </c>
      <c r="N1272">
        <v>3</v>
      </c>
      <c r="O1272">
        <v>10</v>
      </c>
      <c r="P1272">
        <v>4</v>
      </c>
      <c r="Q1272">
        <v>0</v>
      </c>
      <c r="R1272">
        <v>51.35</v>
      </c>
      <c r="S1272">
        <v>0</v>
      </c>
      <c r="T1272">
        <v>0</v>
      </c>
      <c r="U1272">
        <v>3</v>
      </c>
      <c r="V1272">
        <v>0</v>
      </c>
      <c r="X1272">
        <v>54.35</v>
      </c>
    </row>
    <row r="1273" spans="1:24" ht="15">
      <c r="A1273">
        <v>1266</v>
      </c>
      <c r="B1273">
        <v>10064</v>
      </c>
      <c r="C1273" t="s">
        <v>926</v>
      </c>
      <c r="D1273" t="s">
        <v>75</v>
      </c>
      <c r="E1273" t="s">
        <v>21</v>
      </c>
      <c r="F1273" t="str">
        <f>"00611721"</f>
        <v>00611721</v>
      </c>
      <c r="G1273">
        <v>20.35</v>
      </c>
      <c r="H1273">
        <v>7</v>
      </c>
      <c r="I1273">
        <v>0</v>
      </c>
      <c r="J1273">
        <v>20</v>
      </c>
      <c r="K1273">
        <v>20</v>
      </c>
      <c r="N1273">
        <v>3</v>
      </c>
      <c r="O1273">
        <v>3</v>
      </c>
      <c r="P1273">
        <v>4</v>
      </c>
      <c r="Q1273">
        <v>0</v>
      </c>
      <c r="R1273">
        <v>54.35</v>
      </c>
      <c r="S1273">
        <v>0</v>
      </c>
      <c r="T1273">
        <v>0</v>
      </c>
      <c r="U1273">
        <v>0</v>
      </c>
      <c r="V1273">
        <v>0</v>
      </c>
      <c r="X1273">
        <v>54.35</v>
      </c>
    </row>
    <row r="1274" spans="1:24" ht="15">
      <c r="A1274">
        <v>1267</v>
      </c>
      <c r="B1274">
        <v>15391</v>
      </c>
      <c r="C1274" t="s">
        <v>927</v>
      </c>
      <c r="D1274" t="s">
        <v>20</v>
      </c>
      <c r="E1274" t="s">
        <v>106</v>
      </c>
      <c r="F1274" t="str">
        <f>"00041772"</f>
        <v>00041772</v>
      </c>
      <c r="G1274">
        <v>16.33</v>
      </c>
      <c r="H1274">
        <v>0</v>
      </c>
      <c r="I1274">
        <v>0</v>
      </c>
      <c r="J1274">
        <v>20</v>
      </c>
      <c r="K1274">
        <v>20</v>
      </c>
      <c r="M1274">
        <v>5</v>
      </c>
      <c r="N1274">
        <v>3</v>
      </c>
      <c r="O1274">
        <v>8</v>
      </c>
      <c r="P1274">
        <v>4</v>
      </c>
      <c r="Q1274">
        <v>0</v>
      </c>
      <c r="R1274">
        <v>48.33</v>
      </c>
      <c r="S1274">
        <v>0</v>
      </c>
      <c r="T1274">
        <v>0</v>
      </c>
      <c r="U1274">
        <v>6</v>
      </c>
      <c r="V1274">
        <v>0</v>
      </c>
      <c r="X1274">
        <v>54.33</v>
      </c>
    </row>
    <row r="1275" spans="1:24" ht="15">
      <c r="A1275">
        <v>1268</v>
      </c>
      <c r="B1275">
        <v>108038</v>
      </c>
      <c r="C1275" t="s">
        <v>528</v>
      </c>
      <c r="D1275" t="s">
        <v>928</v>
      </c>
      <c r="E1275" t="s">
        <v>27</v>
      </c>
      <c r="F1275" t="str">
        <f>"201504005477"</f>
        <v>201504005477</v>
      </c>
      <c r="G1275">
        <v>20.3</v>
      </c>
      <c r="H1275">
        <v>0</v>
      </c>
      <c r="I1275">
        <v>0</v>
      </c>
      <c r="J1275">
        <v>20</v>
      </c>
      <c r="K1275">
        <v>20</v>
      </c>
      <c r="L1275">
        <v>7</v>
      </c>
      <c r="N1275">
        <v>3</v>
      </c>
      <c r="O1275">
        <v>10</v>
      </c>
      <c r="P1275">
        <v>4</v>
      </c>
      <c r="Q1275">
        <v>0</v>
      </c>
      <c r="R1275">
        <v>54.3</v>
      </c>
      <c r="S1275">
        <v>0</v>
      </c>
      <c r="T1275">
        <v>0</v>
      </c>
      <c r="U1275">
        <v>0</v>
      </c>
      <c r="V1275">
        <v>0</v>
      </c>
      <c r="X1275">
        <v>54.3</v>
      </c>
    </row>
    <row r="1276" spans="1:24" ht="15">
      <c r="A1276">
        <v>1269</v>
      </c>
      <c r="B1276">
        <v>101967</v>
      </c>
      <c r="C1276" t="s">
        <v>929</v>
      </c>
      <c r="D1276" t="s">
        <v>814</v>
      </c>
      <c r="E1276" t="s">
        <v>930</v>
      </c>
      <c r="F1276" t="str">
        <f>"00646017"</f>
        <v>00646017</v>
      </c>
      <c r="G1276">
        <v>20.3</v>
      </c>
      <c r="H1276">
        <v>0</v>
      </c>
      <c r="I1276">
        <v>0</v>
      </c>
      <c r="J1276">
        <v>20</v>
      </c>
      <c r="K1276">
        <v>20</v>
      </c>
      <c r="L1276">
        <v>7</v>
      </c>
      <c r="N1276">
        <v>3</v>
      </c>
      <c r="O1276">
        <v>10</v>
      </c>
      <c r="P1276">
        <v>4</v>
      </c>
      <c r="Q1276">
        <v>0</v>
      </c>
      <c r="R1276">
        <v>54.3</v>
      </c>
      <c r="S1276">
        <v>0</v>
      </c>
      <c r="T1276">
        <v>0</v>
      </c>
      <c r="U1276">
        <v>0</v>
      </c>
      <c r="V1276">
        <v>0</v>
      </c>
      <c r="X1276">
        <v>54.3</v>
      </c>
    </row>
    <row r="1277" spans="1:24" ht="15">
      <c r="A1277">
        <v>1270</v>
      </c>
      <c r="B1277">
        <v>39154</v>
      </c>
      <c r="C1277" t="s">
        <v>934</v>
      </c>
      <c r="D1277" t="s">
        <v>122</v>
      </c>
      <c r="E1277" t="s">
        <v>17</v>
      </c>
      <c r="F1277" t="str">
        <f>"201504001175"</f>
        <v>201504001175</v>
      </c>
      <c r="G1277">
        <v>17.18</v>
      </c>
      <c r="H1277">
        <v>0</v>
      </c>
      <c r="I1277">
        <v>0</v>
      </c>
      <c r="J1277">
        <v>20</v>
      </c>
      <c r="K1277">
        <v>20</v>
      </c>
      <c r="L1277">
        <v>7</v>
      </c>
      <c r="O1277">
        <v>7</v>
      </c>
      <c r="P1277">
        <v>4</v>
      </c>
      <c r="Q1277">
        <v>0</v>
      </c>
      <c r="R1277">
        <v>48.18</v>
      </c>
      <c r="S1277">
        <v>0</v>
      </c>
      <c r="T1277">
        <v>0</v>
      </c>
      <c r="U1277">
        <v>6</v>
      </c>
      <c r="V1277">
        <v>0</v>
      </c>
      <c r="X1277">
        <v>54.18</v>
      </c>
    </row>
    <row r="1278" spans="1:24" ht="15">
      <c r="A1278">
        <v>1271</v>
      </c>
      <c r="B1278">
        <v>89989</v>
      </c>
      <c r="C1278" t="s">
        <v>935</v>
      </c>
      <c r="D1278" t="s">
        <v>936</v>
      </c>
      <c r="E1278" t="s">
        <v>23</v>
      </c>
      <c r="F1278" t="str">
        <f>"00637579"</f>
        <v>00637579</v>
      </c>
      <c r="G1278">
        <v>23.18</v>
      </c>
      <c r="H1278">
        <v>0</v>
      </c>
      <c r="I1278">
        <v>0</v>
      </c>
      <c r="J1278">
        <v>20</v>
      </c>
      <c r="K1278">
        <v>20</v>
      </c>
      <c r="L1278">
        <v>7</v>
      </c>
      <c r="O1278">
        <v>7</v>
      </c>
      <c r="P1278">
        <v>4</v>
      </c>
      <c r="Q1278">
        <v>0</v>
      </c>
      <c r="R1278">
        <v>54.18</v>
      </c>
      <c r="S1278">
        <v>0</v>
      </c>
      <c r="T1278">
        <v>0</v>
      </c>
      <c r="U1278">
        <v>0</v>
      </c>
      <c r="V1278">
        <v>0</v>
      </c>
      <c r="X1278">
        <v>54.18</v>
      </c>
    </row>
    <row r="1279" spans="1:24" ht="15">
      <c r="A1279">
        <v>1272</v>
      </c>
      <c r="B1279">
        <v>52602</v>
      </c>
      <c r="C1279" t="s">
        <v>937</v>
      </c>
      <c r="D1279" t="s">
        <v>370</v>
      </c>
      <c r="E1279" t="s">
        <v>17</v>
      </c>
      <c r="F1279" t="str">
        <f>"00084022"</f>
        <v>00084022</v>
      </c>
      <c r="G1279">
        <v>17.15</v>
      </c>
      <c r="H1279">
        <v>0</v>
      </c>
      <c r="I1279">
        <v>0</v>
      </c>
      <c r="J1279">
        <v>20</v>
      </c>
      <c r="K1279">
        <v>20</v>
      </c>
      <c r="L1279">
        <v>7</v>
      </c>
      <c r="O1279">
        <v>7</v>
      </c>
      <c r="P1279">
        <v>4</v>
      </c>
      <c r="Q1279">
        <v>0</v>
      </c>
      <c r="R1279">
        <v>48.15</v>
      </c>
      <c r="S1279">
        <v>0</v>
      </c>
      <c r="T1279">
        <v>0</v>
      </c>
      <c r="U1279">
        <v>6</v>
      </c>
      <c r="V1279">
        <v>0</v>
      </c>
      <c r="X1279">
        <v>54.15</v>
      </c>
    </row>
    <row r="1280" spans="1:24" ht="15">
      <c r="A1280">
        <v>1273</v>
      </c>
      <c r="B1280">
        <v>77946</v>
      </c>
      <c r="C1280" t="s">
        <v>941</v>
      </c>
      <c r="D1280" t="s">
        <v>29</v>
      </c>
      <c r="E1280" t="s">
        <v>289</v>
      </c>
      <c r="F1280" t="str">
        <f>"00139833"</f>
        <v>00139833</v>
      </c>
      <c r="G1280">
        <v>16.05</v>
      </c>
      <c r="H1280">
        <v>0</v>
      </c>
      <c r="I1280">
        <v>0</v>
      </c>
      <c r="J1280">
        <v>28</v>
      </c>
      <c r="K1280">
        <v>28</v>
      </c>
      <c r="N1280">
        <v>3</v>
      </c>
      <c r="O1280">
        <v>3</v>
      </c>
      <c r="P1280">
        <v>4</v>
      </c>
      <c r="Q1280">
        <v>0</v>
      </c>
      <c r="R1280">
        <v>51.05</v>
      </c>
      <c r="S1280">
        <v>0</v>
      </c>
      <c r="T1280">
        <v>0</v>
      </c>
      <c r="U1280">
        <v>3</v>
      </c>
      <c r="V1280">
        <v>0</v>
      </c>
      <c r="X1280">
        <v>54.05</v>
      </c>
    </row>
    <row r="1281" spans="1:24" ht="15">
      <c r="A1281">
        <v>1274</v>
      </c>
      <c r="B1281">
        <v>111359</v>
      </c>
      <c r="C1281" t="s">
        <v>942</v>
      </c>
      <c r="D1281" t="s">
        <v>943</v>
      </c>
      <c r="E1281" t="s">
        <v>113</v>
      </c>
      <c r="F1281" t="str">
        <f>"00607091"</f>
        <v>00607091</v>
      </c>
      <c r="G1281">
        <v>22.05</v>
      </c>
      <c r="H1281">
        <v>0</v>
      </c>
      <c r="I1281">
        <v>0</v>
      </c>
      <c r="J1281">
        <v>28</v>
      </c>
      <c r="K1281">
        <v>28</v>
      </c>
      <c r="O1281">
        <v>0</v>
      </c>
      <c r="P1281">
        <v>4</v>
      </c>
      <c r="Q1281">
        <v>0</v>
      </c>
      <c r="R1281">
        <v>54.05</v>
      </c>
      <c r="S1281">
        <v>0</v>
      </c>
      <c r="T1281">
        <v>0</v>
      </c>
      <c r="U1281">
        <v>0</v>
      </c>
      <c r="V1281">
        <v>0</v>
      </c>
      <c r="X1281">
        <v>54.05</v>
      </c>
    </row>
    <row r="1282" spans="1:24" ht="15">
      <c r="A1282">
        <v>1275</v>
      </c>
      <c r="B1282">
        <v>71758</v>
      </c>
      <c r="C1282" t="s">
        <v>944</v>
      </c>
      <c r="D1282" t="s">
        <v>928</v>
      </c>
      <c r="E1282" t="s">
        <v>111</v>
      </c>
      <c r="F1282" t="str">
        <f>"00618450"</f>
        <v>00618450</v>
      </c>
      <c r="G1282">
        <v>16.03</v>
      </c>
      <c r="H1282">
        <v>0</v>
      </c>
      <c r="I1282">
        <v>0</v>
      </c>
      <c r="J1282">
        <v>0</v>
      </c>
      <c r="K1282">
        <v>0</v>
      </c>
      <c r="N1282">
        <v>3</v>
      </c>
      <c r="O1282">
        <v>3</v>
      </c>
      <c r="P1282">
        <v>0</v>
      </c>
      <c r="Q1282">
        <v>0</v>
      </c>
      <c r="R1282">
        <v>19.03</v>
      </c>
      <c r="S1282">
        <v>0</v>
      </c>
      <c r="T1282">
        <v>0</v>
      </c>
      <c r="U1282">
        <v>3</v>
      </c>
      <c r="V1282">
        <v>32</v>
      </c>
      <c r="X1282">
        <v>54.03</v>
      </c>
    </row>
    <row r="1283" spans="1:24" ht="15">
      <c r="A1283">
        <v>1276</v>
      </c>
      <c r="B1283">
        <v>14475</v>
      </c>
      <c r="C1283" t="s">
        <v>945</v>
      </c>
      <c r="D1283" t="s">
        <v>728</v>
      </c>
      <c r="E1283" t="s">
        <v>17</v>
      </c>
      <c r="F1283" t="str">
        <f>"00021797"</f>
        <v>00021797</v>
      </c>
      <c r="G1283">
        <v>17.03</v>
      </c>
      <c r="H1283">
        <v>0</v>
      </c>
      <c r="I1283">
        <v>0</v>
      </c>
      <c r="J1283">
        <v>20</v>
      </c>
      <c r="K1283">
        <v>20</v>
      </c>
      <c r="L1283">
        <v>7</v>
      </c>
      <c r="O1283">
        <v>7</v>
      </c>
      <c r="P1283">
        <v>4</v>
      </c>
      <c r="Q1283">
        <v>0</v>
      </c>
      <c r="R1283">
        <v>48.03</v>
      </c>
      <c r="S1283">
        <v>0</v>
      </c>
      <c r="T1283">
        <v>0</v>
      </c>
      <c r="U1283">
        <v>6</v>
      </c>
      <c r="V1283">
        <v>0</v>
      </c>
      <c r="X1283">
        <v>54.03</v>
      </c>
    </row>
    <row r="1284" spans="1:24" ht="15">
      <c r="A1284">
        <v>1277</v>
      </c>
      <c r="B1284">
        <v>61106</v>
      </c>
      <c r="C1284" t="s">
        <v>946</v>
      </c>
      <c r="D1284" t="s">
        <v>16</v>
      </c>
      <c r="E1284" t="s">
        <v>17</v>
      </c>
      <c r="F1284" t="str">
        <f>"00626526"</f>
        <v>00626526</v>
      </c>
      <c r="G1284">
        <v>21.03</v>
      </c>
      <c r="H1284">
        <v>0</v>
      </c>
      <c r="I1284">
        <v>0</v>
      </c>
      <c r="J1284">
        <v>20</v>
      </c>
      <c r="K1284">
        <v>20</v>
      </c>
      <c r="L1284">
        <v>7</v>
      </c>
      <c r="N1284">
        <v>3</v>
      </c>
      <c r="O1284">
        <v>10</v>
      </c>
      <c r="P1284">
        <v>0</v>
      </c>
      <c r="Q1284">
        <v>0</v>
      </c>
      <c r="R1284">
        <v>51.03</v>
      </c>
      <c r="S1284">
        <v>0</v>
      </c>
      <c r="T1284">
        <v>0</v>
      </c>
      <c r="U1284">
        <v>3</v>
      </c>
      <c r="V1284">
        <v>0</v>
      </c>
      <c r="X1284">
        <v>54.03</v>
      </c>
    </row>
    <row r="1285" spans="1:24" ht="15">
      <c r="A1285">
        <v>1278</v>
      </c>
      <c r="B1285">
        <v>83532</v>
      </c>
      <c r="C1285" t="s">
        <v>109</v>
      </c>
      <c r="D1285" t="s">
        <v>947</v>
      </c>
      <c r="E1285" t="s">
        <v>27</v>
      </c>
      <c r="F1285" t="str">
        <f>"00632946"</f>
        <v>00632946</v>
      </c>
      <c r="G1285">
        <v>19.03</v>
      </c>
      <c r="H1285">
        <v>0</v>
      </c>
      <c r="I1285">
        <v>0</v>
      </c>
      <c r="J1285">
        <v>28</v>
      </c>
      <c r="K1285">
        <v>28</v>
      </c>
      <c r="N1285">
        <v>3</v>
      </c>
      <c r="O1285">
        <v>3</v>
      </c>
      <c r="P1285">
        <v>4</v>
      </c>
      <c r="Q1285">
        <v>0</v>
      </c>
      <c r="R1285">
        <v>54.03</v>
      </c>
      <c r="S1285">
        <v>0</v>
      </c>
      <c r="T1285">
        <v>0</v>
      </c>
      <c r="U1285">
        <v>0</v>
      </c>
      <c r="V1285">
        <v>0</v>
      </c>
      <c r="X1285">
        <v>54.03</v>
      </c>
    </row>
    <row r="1286" spans="1:24" ht="15">
      <c r="A1286">
        <v>1279</v>
      </c>
      <c r="B1286">
        <v>28539</v>
      </c>
      <c r="C1286" t="s">
        <v>948</v>
      </c>
      <c r="D1286" t="s">
        <v>80</v>
      </c>
      <c r="E1286" t="s">
        <v>12</v>
      </c>
      <c r="F1286" t="str">
        <f>"00593340"</f>
        <v>00593340</v>
      </c>
      <c r="G1286">
        <v>17</v>
      </c>
      <c r="H1286">
        <v>0</v>
      </c>
      <c r="I1286">
        <v>0</v>
      </c>
      <c r="J1286">
        <v>20</v>
      </c>
      <c r="K1286">
        <v>20</v>
      </c>
      <c r="L1286">
        <v>7</v>
      </c>
      <c r="O1286">
        <v>7</v>
      </c>
      <c r="P1286">
        <v>4</v>
      </c>
      <c r="Q1286">
        <v>0</v>
      </c>
      <c r="R1286">
        <v>48</v>
      </c>
      <c r="S1286">
        <v>0</v>
      </c>
      <c r="T1286">
        <v>0</v>
      </c>
      <c r="U1286">
        <v>6</v>
      </c>
      <c r="V1286">
        <v>0</v>
      </c>
      <c r="X1286">
        <v>54</v>
      </c>
    </row>
    <row r="1287" spans="1:24" ht="15">
      <c r="A1287">
        <v>1280</v>
      </c>
      <c r="B1287">
        <v>98729</v>
      </c>
      <c r="C1287" t="s">
        <v>949</v>
      </c>
      <c r="D1287" t="s">
        <v>41</v>
      </c>
      <c r="E1287" t="s">
        <v>27</v>
      </c>
      <c r="F1287" t="str">
        <f>"00618616"</f>
        <v>00618616</v>
      </c>
      <c r="G1287">
        <v>17</v>
      </c>
      <c r="H1287">
        <v>0</v>
      </c>
      <c r="I1287">
        <v>0</v>
      </c>
      <c r="J1287">
        <v>20</v>
      </c>
      <c r="K1287">
        <v>20</v>
      </c>
      <c r="L1287">
        <v>7</v>
      </c>
      <c r="N1287">
        <v>3</v>
      </c>
      <c r="O1287">
        <v>10</v>
      </c>
      <c r="P1287">
        <v>4</v>
      </c>
      <c r="Q1287">
        <v>0</v>
      </c>
      <c r="R1287">
        <v>51</v>
      </c>
      <c r="S1287">
        <v>0</v>
      </c>
      <c r="T1287">
        <v>0</v>
      </c>
      <c r="U1287">
        <v>3</v>
      </c>
      <c r="V1287">
        <v>0</v>
      </c>
      <c r="X1287">
        <v>54</v>
      </c>
    </row>
    <row r="1288" spans="1:24" ht="15">
      <c r="A1288">
        <v>1281</v>
      </c>
      <c r="B1288">
        <v>86445</v>
      </c>
      <c r="C1288" t="s">
        <v>951</v>
      </c>
      <c r="D1288" t="s">
        <v>952</v>
      </c>
      <c r="E1288" t="s">
        <v>953</v>
      </c>
      <c r="F1288" t="str">
        <f>"00638545"</f>
        <v>00638545</v>
      </c>
      <c r="G1288">
        <v>20.85</v>
      </c>
      <c r="H1288">
        <v>0</v>
      </c>
      <c r="I1288">
        <v>0</v>
      </c>
      <c r="J1288">
        <v>20</v>
      </c>
      <c r="K1288">
        <v>20</v>
      </c>
      <c r="L1288">
        <v>7</v>
      </c>
      <c r="O1288">
        <v>7</v>
      </c>
      <c r="P1288">
        <v>0</v>
      </c>
      <c r="Q1288">
        <v>0</v>
      </c>
      <c r="R1288">
        <v>47.85</v>
      </c>
      <c r="S1288">
        <v>0</v>
      </c>
      <c r="T1288">
        <v>0</v>
      </c>
      <c r="U1288">
        <v>6</v>
      </c>
      <c r="V1288">
        <v>0</v>
      </c>
      <c r="X1288">
        <v>53.85</v>
      </c>
    </row>
    <row r="1289" spans="1:24" ht="15">
      <c r="A1289">
        <v>1282</v>
      </c>
      <c r="B1289">
        <v>88995</v>
      </c>
      <c r="C1289" t="s">
        <v>954</v>
      </c>
      <c r="D1289" t="s">
        <v>75</v>
      </c>
      <c r="E1289" t="s">
        <v>60</v>
      </c>
      <c r="F1289" t="str">
        <f>"00635067"</f>
        <v>00635067</v>
      </c>
      <c r="G1289">
        <v>18.85</v>
      </c>
      <c r="H1289">
        <v>0</v>
      </c>
      <c r="I1289">
        <v>0</v>
      </c>
      <c r="J1289">
        <v>28</v>
      </c>
      <c r="K1289">
        <v>28</v>
      </c>
      <c r="N1289">
        <v>3</v>
      </c>
      <c r="O1289">
        <v>3</v>
      </c>
      <c r="P1289">
        <v>4</v>
      </c>
      <c r="Q1289">
        <v>0</v>
      </c>
      <c r="R1289">
        <v>53.85</v>
      </c>
      <c r="S1289">
        <v>0</v>
      </c>
      <c r="T1289">
        <v>0</v>
      </c>
      <c r="U1289">
        <v>0</v>
      </c>
      <c r="V1289">
        <v>0</v>
      </c>
      <c r="X1289">
        <v>53.85</v>
      </c>
    </row>
    <row r="1290" spans="1:24" ht="15">
      <c r="A1290">
        <v>1283</v>
      </c>
      <c r="B1290">
        <v>95875</v>
      </c>
      <c r="C1290" t="s">
        <v>957</v>
      </c>
      <c r="D1290" t="s">
        <v>153</v>
      </c>
      <c r="E1290" t="s">
        <v>30</v>
      </c>
      <c r="F1290" t="str">
        <f>"00282302"</f>
        <v>00282302</v>
      </c>
      <c r="G1290">
        <v>19.8</v>
      </c>
      <c r="H1290">
        <v>0</v>
      </c>
      <c r="I1290">
        <v>0</v>
      </c>
      <c r="J1290">
        <v>20</v>
      </c>
      <c r="K1290">
        <v>20</v>
      </c>
      <c r="L1290">
        <v>7</v>
      </c>
      <c r="N1290">
        <v>3</v>
      </c>
      <c r="O1290">
        <v>10</v>
      </c>
      <c r="P1290">
        <v>4</v>
      </c>
      <c r="Q1290">
        <v>0</v>
      </c>
      <c r="R1290">
        <v>53.8</v>
      </c>
      <c r="S1290">
        <v>0</v>
      </c>
      <c r="T1290">
        <v>0</v>
      </c>
      <c r="U1290">
        <v>0</v>
      </c>
      <c r="V1290">
        <v>0</v>
      </c>
      <c r="X1290">
        <v>53.8</v>
      </c>
    </row>
    <row r="1291" spans="1:24" ht="15">
      <c r="A1291">
        <v>1284</v>
      </c>
      <c r="B1291">
        <v>2294</v>
      </c>
      <c r="C1291" t="s">
        <v>959</v>
      </c>
      <c r="D1291" t="s">
        <v>960</v>
      </c>
      <c r="E1291" t="s">
        <v>30</v>
      </c>
      <c r="F1291" t="str">
        <f>"00582847"</f>
        <v>00582847</v>
      </c>
      <c r="G1291">
        <v>19.73</v>
      </c>
      <c r="H1291">
        <v>0</v>
      </c>
      <c r="I1291">
        <v>0</v>
      </c>
      <c r="J1291">
        <v>20</v>
      </c>
      <c r="K1291">
        <v>20</v>
      </c>
      <c r="L1291">
        <v>7</v>
      </c>
      <c r="N1291">
        <v>3</v>
      </c>
      <c r="O1291">
        <v>10</v>
      </c>
      <c r="P1291">
        <v>4</v>
      </c>
      <c r="Q1291">
        <v>0</v>
      </c>
      <c r="R1291">
        <v>53.73</v>
      </c>
      <c r="S1291">
        <v>0</v>
      </c>
      <c r="T1291">
        <v>0</v>
      </c>
      <c r="U1291">
        <v>0</v>
      </c>
      <c r="V1291">
        <v>0</v>
      </c>
      <c r="X1291">
        <v>53.73</v>
      </c>
    </row>
    <row r="1292" spans="1:24" ht="15">
      <c r="A1292">
        <v>1285</v>
      </c>
      <c r="B1292">
        <v>79261</v>
      </c>
      <c r="C1292" t="s">
        <v>961</v>
      </c>
      <c r="D1292" t="s">
        <v>962</v>
      </c>
      <c r="E1292" t="s">
        <v>113</v>
      </c>
      <c r="F1292" t="str">
        <f>"201512001632"</f>
        <v>201512001632</v>
      </c>
      <c r="G1292">
        <v>19.7</v>
      </c>
      <c r="H1292">
        <v>0</v>
      </c>
      <c r="I1292">
        <v>0</v>
      </c>
      <c r="J1292">
        <v>20</v>
      </c>
      <c r="K1292">
        <v>20</v>
      </c>
      <c r="L1292">
        <v>7</v>
      </c>
      <c r="N1292">
        <v>3</v>
      </c>
      <c r="O1292">
        <v>10</v>
      </c>
      <c r="P1292">
        <v>4</v>
      </c>
      <c r="Q1292">
        <v>0</v>
      </c>
      <c r="R1292">
        <v>53.7</v>
      </c>
      <c r="S1292">
        <v>0</v>
      </c>
      <c r="T1292">
        <v>0</v>
      </c>
      <c r="U1292">
        <v>0</v>
      </c>
      <c r="V1292">
        <v>0</v>
      </c>
      <c r="X1292">
        <v>53.7</v>
      </c>
    </row>
    <row r="1293" spans="1:24" ht="15">
      <c r="A1293">
        <v>1286</v>
      </c>
      <c r="B1293">
        <v>98371</v>
      </c>
      <c r="C1293" t="s">
        <v>964</v>
      </c>
      <c r="D1293" t="s">
        <v>965</v>
      </c>
      <c r="E1293" t="s">
        <v>109</v>
      </c>
      <c r="F1293" t="str">
        <f>"200811001113"</f>
        <v>200811001113</v>
      </c>
      <c r="G1293">
        <v>18.63</v>
      </c>
      <c r="H1293">
        <v>0</v>
      </c>
      <c r="I1293">
        <v>0</v>
      </c>
      <c r="J1293">
        <v>20</v>
      </c>
      <c r="K1293">
        <v>20</v>
      </c>
      <c r="N1293">
        <v>6</v>
      </c>
      <c r="O1293">
        <v>6</v>
      </c>
      <c r="P1293">
        <v>0</v>
      </c>
      <c r="Q1293">
        <v>0</v>
      </c>
      <c r="R1293">
        <v>44.63</v>
      </c>
      <c r="S1293">
        <v>0</v>
      </c>
      <c r="T1293">
        <v>0</v>
      </c>
      <c r="U1293">
        <v>9</v>
      </c>
      <c r="V1293">
        <v>0</v>
      </c>
      <c r="X1293">
        <v>53.63</v>
      </c>
    </row>
    <row r="1294" spans="1:24" ht="15">
      <c r="A1294">
        <v>1287</v>
      </c>
      <c r="B1294">
        <v>26997</v>
      </c>
      <c r="C1294" t="s">
        <v>672</v>
      </c>
      <c r="D1294" t="s">
        <v>153</v>
      </c>
      <c r="E1294" t="s">
        <v>201</v>
      </c>
      <c r="F1294" t="str">
        <f>"00586038"</f>
        <v>00586038</v>
      </c>
      <c r="G1294">
        <v>18.58</v>
      </c>
      <c r="H1294">
        <v>0</v>
      </c>
      <c r="I1294">
        <v>0</v>
      </c>
      <c r="J1294">
        <v>28</v>
      </c>
      <c r="K1294">
        <v>28</v>
      </c>
      <c r="N1294">
        <v>3</v>
      </c>
      <c r="O1294">
        <v>3</v>
      </c>
      <c r="P1294">
        <v>4</v>
      </c>
      <c r="Q1294">
        <v>0</v>
      </c>
      <c r="R1294">
        <v>53.58</v>
      </c>
      <c r="S1294">
        <v>0</v>
      </c>
      <c r="T1294">
        <v>0</v>
      </c>
      <c r="U1294">
        <v>0</v>
      </c>
      <c r="V1294">
        <v>0</v>
      </c>
      <c r="X1294">
        <v>53.58</v>
      </c>
    </row>
    <row r="1295" spans="1:24" ht="15">
      <c r="A1295">
        <v>1288</v>
      </c>
      <c r="B1295">
        <v>5352</v>
      </c>
      <c r="C1295" t="s">
        <v>971</v>
      </c>
      <c r="D1295" t="s">
        <v>387</v>
      </c>
      <c r="E1295" t="s">
        <v>60</v>
      </c>
      <c r="F1295" t="str">
        <f>"00436616"</f>
        <v>00436616</v>
      </c>
      <c r="G1295">
        <v>17.48</v>
      </c>
      <c r="H1295">
        <v>0</v>
      </c>
      <c r="I1295">
        <v>0</v>
      </c>
      <c r="J1295">
        <v>20</v>
      </c>
      <c r="K1295">
        <v>20</v>
      </c>
      <c r="L1295">
        <v>7</v>
      </c>
      <c r="N1295">
        <v>3</v>
      </c>
      <c r="O1295">
        <v>10</v>
      </c>
      <c r="P1295">
        <v>4</v>
      </c>
      <c r="Q1295">
        <v>2</v>
      </c>
      <c r="R1295">
        <v>53.48</v>
      </c>
      <c r="S1295">
        <v>0</v>
      </c>
      <c r="T1295">
        <v>0</v>
      </c>
      <c r="U1295">
        <v>0</v>
      </c>
      <c r="V1295">
        <v>0</v>
      </c>
      <c r="X1295">
        <v>53.48</v>
      </c>
    </row>
    <row r="1296" spans="1:24" ht="15">
      <c r="A1296">
        <v>1289</v>
      </c>
      <c r="B1296">
        <v>34042</v>
      </c>
      <c r="C1296" t="s">
        <v>972</v>
      </c>
      <c r="D1296" t="s">
        <v>23</v>
      </c>
      <c r="E1296" t="s">
        <v>73</v>
      </c>
      <c r="F1296" t="str">
        <f>"00017323"</f>
        <v>00017323</v>
      </c>
      <c r="G1296">
        <v>16.45</v>
      </c>
      <c r="H1296">
        <v>0</v>
      </c>
      <c r="I1296">
        <v>0</v>
      </c>
      <c r="J1296">
        <v>20</v>
      </c>
      <c r="K1296">
        <v>20</v>
      </c>
      <c r="L1296">
        <v>7</v>
      </c>
      <c r="O1296">
        <v>7</v>
      </c>
      <c r="P1296">
        <v>4</v>
      </c>
      <c r="Q1296">
        <v>0</v>
      </c>
      <c r="R1296">
        <v>47.45</v>
      </c>
      <c r="S1296">
        <v>0</v>
      </c>
      <c r="T1296">
        <v>0</v>
      </c>
      <c r="U1296">
        <v>6</v>
      </c>
      <c r="V1296">
        <v>0</v>
      </c>
      <c r="X1296">
        <v>53.45</v>
      </c>
    </row>
    <row r="1297" spans="1:24" ht="15">
      <c r="A1297">
        <v>1290</v>
      </c>
      <c r="B1297">
        <v>112651</v>
      </c>
      <c r="C1297" t="s">
        <v>975</v>
      </c>
      <c r="D1297" t="s">
        <v>29</v>
      </c>
      <c r="E1297" t="s">
        <v>12</v>
      </c>
      <c r="F1297" t="str">
        <f>"201504002705"</f>
        <v>201504002705</v>
      </c>
      <c r="G1297">
        <v>19.4</v>
      </c>
      <c r="H1297">
        <v>0</v>
      </c>
      <c r="I1297">
        <v>0</v>
      </c>
      <c r="J1297">
        <v>20</v>
      </c>
      <c r="K1297">
        <v>20</v>
      </c>
      <c r="L1297">
        <v>7</v>
      </c>
      <c r="O1297">
        <v>7</v>
      </c>
      <c r="P1297">
        <v>4</v>
      </c>
      <c r="Q1297">
        <v>0</v>
      </c>
      <c r="R1297">
        <v>50.4</v>
      </c>
      <c r="S1297">
        <v>0</v>
      </c>
      <c r="T1297">
        <v>0</v>
      </c>
      <c r="U1297">
        <v>3</v>
      </c>
      <c r="V1297">
        <v>0</v>
      </c>
      <c r="X1297">
        <v>53.4</v>
      </c>
    </row>
    <row r="1298" spans="1:24" ht="15">
      <c r="A1298">
        <v>1291</v>
      </c>
      <c r="B1298">
        <v>14783</v>
      </c>
      <c r="C1298" t="s">
        <v>976</v>
      </c>
      <c r="D1298" t="s">
        <v>442</v>
      </c>
      <c r="E1298" t="s">
        <v>20</v>
      </c>
      <c r="F1298" t="str">
        <f>"00610618"</f>
        <v>00610618</v>
      </c>
      <c r="G1298">
        <v>20.35</v>
      </c>
      <c r="H1298">
        <v>0</v>
      </c>
      <c r="I1298">
        <v>0</v>
      </c>
      <c r="J1298">
        <v>20</v>
      </c>
      <c r="K1298">
        <v>20</v>
      </c>
      <c r="N1298">
        <v>3</v>
      </c>
      <c r="O1298">
        <v>3</v>
      </c>
      <c r="P1298">
        <v>4</v>
      </c>
      <c r="Q1298">
        <v>0</v>
      </c>
      <c r="R1298">
        <v>47.35</v>
      </c>
      <c r="S1298">
        <v>0</v>
      </c>
      <c r="T1298">
        <v>0</v>
      </c>
      <c r="U1298">
        <v>6</v>
      </c>
      <c r="V1298">
        <v>0</v>
      </c>
      <c r="X1298">
        <v>53.35</v>
      </c>
    </row>
    <row r="1299" spans="1:24" ht="15">
      <c r="A1299">
        <v>1292</v>
      </c>
      <c r="B1299">
        <v>101062</v>
      </c>
      <c r="C1299" t="s">
        <v>978</v>
      </c>
      <c r="D1299" t="s">
        <v>21</v>
      </c>
      <c r="E1299" t="s">
        <v>30</v>
      </c>
      <c r="F1299" t="str">
        <f>"201405000800"</f>
        <v>201405000800</v>
      </c>
      <c r="G1299">
        <v>15.33</v>
      </c>
      <c r="H1299">
        <v>7</v>
      </c>
      <c r="I1299">
        <v>0</v>
      </c>
      <c r="J1299">
        <v>20</v>
      </c>
      <c r="K1299">
        <v>20</v>
      </c>
      <c r="L1299">
        <v>7</v>
      </c>
      <c r="O1299">
        <v>7</v>
      </c>
      <c r="P1299">
        <v>4</v>
      </c>
      <c r="Q1299">
        <v>0</v>
      </c>
      <c r="R1299">
        <v>53.33</v>
      </c>
      <c r="S1299">
        <v>0</v>
      </c>
      <c r="T1299">
        <v>0</v>
      </c>
      <c r="U1299">
        <v>0</v>
      </c>
      <c r="V1299">
        <v>0</v>
      </c>
      <c r="X1299">
        <v>53.33</v>
      </c>
    </row>
    <row r="1300" spans="1:24" ht="15">
      <c r="A1300">
        <v>1293</v>
      </c>
      <c r="B1300">
        <v>69476</v>
      </c>
      <c r="C1300" t="s">
        <v>979</v>
      </c>
      <c r="D1300" t="s">
        <v>980</v>
      </c>
      <c r="E1300" t="s">
        <v>131</v>
      </c>
      <c r="F1300" t="str">
        <f>"00614044"</f>
        <v>00614044</v>
      </c>
      <c r="G1300">
        <v>20.28</v>
      </c>
      <c r="H1300">
        <v>0</v>
      </c>
      <c r="I1300">
        <v>0</v>
      </c>
      <c r="J1300">
        <v>20</v>
      </c>
      <c r="K1300">
        <v>20</v>
      </c>
      <c r="N1300">
        <v>3</v>
      </c>
      <c r="O1300">
        <v>3</v>
      </c>
      <c r="P1300">
        <v>4</v>
      </c>
      <c r="Q1300">
        <v>0</v>
      </c>
      <c r="R1300">
        <v>47.28</v>
      </c>
      <c r="S1300">
        <v>0</v>
      </c>
      <c r="T1300">
        <v>0</v>
      </c>
      <c r="U1300">
        <v>6</v>
      </c>
      <c r="V1300">
        <v>0</v>
      </c>
      <c r="X1300">
        <v>53.28</v>
      </c>
    </row>
    <row r="1301" spans="1:24" ht="15">
      <c r="A1301">
        <v>1294</v>
      </c>
      <c r="B1301">
        <v>95548</v>
      </c>
      <c r="C1301" t="s">
        <v>981</v>
      </c>
      <c r="D1301" t="s">
        <v>90</v>
      </c>
      <c r="E1301" t="s">
        <v>465</v>
      </c>
      <c r="F1301" t="str">
        <f>"00628378"</f>
        <v>00628378</v>
      </c>
      <c r="G1301">
        <v>18.28</v>
      </c>
      <c r="H1301">
        <v>0</v>
      </c>
      <c r="I1301">
        <v>0</v>
      </c>
      <c r="J1301">
        <v>28</v>
      </c>
      <c r="K1301">
        <v>28</v>
      </c>
      <c r="N1301">
        <v>3</v>
      </c>
      <c r="O1301">
        <v>3</v>
      </c>
      <c r="P1301">
        <v>4</v>
      </c>
      <c r="Q1301">
        <v>0</v>
      </c>
      <c r="R1301">
        <v>53.28</v>
      </c>
      <c r="S1301">
        <v>0</v>
      </c>
      <c r="T1301">
        <v>0</v>
      </c>
      <c r="U1301">
        <v>0</v>
      </c>
      <c r="V1301">
        <v>0</v>
      </c>
      <c r="X1301">
        <v>53.28</v>
      </c>
    </row>
    <row r="1302" spans="1:24" ht="15">
      <c r="A1302">
        <v>1295</v>
      </c>
      <c r="B1302">
        <v>39753</v>
      </c>
      <c r="C1302" t="s">
        <v>983</v>
      </c>
      <c r="D1302" t="s">
        <v>16</v>
      </c>
      <c r="E1302" t="s">
        <v>30</v>
      </c>
      <c r="F1302" t="str">
        <f>"00021245"</f>
        <v>00021245</v>
      </c>
      <c r="G1302">
        <v>16.25</v>
      </c>
      <c r="H1302">
        <v>0</v>
      </c>
      <c r="I1302">
        <v>0</v>
      </c>
      <c r="J1302">
        <v>20</v>
      </c>
      <c r="K1302">
        <v>20</v>
      </c>
      <c r="L1302">
        <v>7</v>
      </c>
      <c r="O1302">
        <v>7</v>
      </c>
      <c r="P1302">
        <v>4</v>
      </c>
      <c r="Q1302">
        <v>0</v>
      </c>
      <c r="R1302">
        <v>47.25</v>
      </c>
      <c r="S1302">
        <v>0</v>
      </c>
      <c r="T1302">
        <v>0</v>
      </c>
      <c r="U1302">
        <v>6</v>
      </c>
      <c r="V1302">
        <v>0</v>
      </c>
      <c r="X1302">
        <v>53.25</v>
      </c>
    </row>
    <row r="1303" spans="1:24" ht="15">
      <c r="A1303">
        <v>1296</v>
      </c>
      <c r="B1303">
        <v>78211</v>
      </c>
      <c r="C1303" t="s">
        <v>984</v>
      </c>
      <c r="D1303" t="s">
        <v>985</v>
      </c>
      <c r="E1303" t="s">
        <v>13</v>
      </c>
      <c r="F1303" t="str">
        <f>"00026957"</f>
        <v>00026957</v>
      </c>
      <c r="G1303">
        <v>18.13</v>
      </c>
      <c r="H1303">
        <v>0</v>
      </c>
      <c r="I1303">
        <v>0</v>
      </c>
      <c r="J1303">
        <v>28</v>
      </c>
      <c r="K1303">
        <v>28</v>
      </c>
      <c r="N1303">
        <v>3</v>
      </c>
      <c r="O1303">
        <v>3</v>
      </c>
      <c r="P1303">
        <v>4</v>
      </c>
      <c r="Q1303">
        <v>0</v>
      </c>
      <c r="R1303">
        <v>53.13</v>
      </c>
      <c r="S1303">
        <v>0</v>
      </c>
      <c r="T1303">
        <v>0</v>
      </c>
      <c r="U1303">
        <v>0</v>
      </c>
      <c r="V1303">
        <v>0</v>
      </c>
      <c r="X1303">
        <v>53.13</v>
      </c>
    </row>
    <row r="1304" spans="1:24" ht="15">
      <c r="A1304">
        <v>1297</v>
      </c>
      <c r="B1304">
        <v>50337</v>
      </c>
      <c r="C1304" t="s">
        <v>990</v>
      </c>
      <c r="D1304" t="s">
        <v>80</v>
      </c>
      <c r="E1304" t="s">
        <v>991</v>
      </c>
      <c r="F1304" t="str">
        <f>"00627493"</f>
        <v>00627493</v>
      </c>
      <c r="G1304">
        <v>16</v>
      </c>
      <c r="H1304">
        <v>0</v>
      </c>
      <c r="I1304">
        <v>0</v>
      </c>
      <c r="J1304">
        <v>28</v>
      </c>
      <c r="K1304">
        <v>28</v>
      </c>
      <c r="M1304">
        <v>5</v>
      </c>
      <c r="O1304">
        <v>5</v>
      </c>
      <c r="P1304">
        <v>4</v>
      </c>
      <c r="Q1304">
        <v>0</v>
      </c>
      <c r="R1304">
        <v>53</v>
      </c>
      <c r="S1304">
        <v>0</v>
      </c>
      <c r="T1304">
        <v>0</v>
      </c>
      <c r="U1304">
        <v>0</v>
      </c>
      <c r="V1304">
        <v>0</v>
      </c>
      <c r="X1304">
        <v>53</v>
      </c>
    </row>
    <row r="1305" spans="1:24" ht="15">
      <c r="A1305">
        <v>1298</v>
      </c>
      <c r="B1305">
        <v>106300</v>
      </c>
      <c r="C1305" t="s">
        <v>992</v>
      </c>
      <c r="D1305" t="s">
        <v>180</v>
      </c>
      <c r="E1305" t="s">
        <v>820</v>
      </c>
      <c r="F1305" t="str">
        <f>"00037783"</f>
        <v>00037783</v>
      </c>
      <c r="G1305">
        <v>16.98</v>
      </c>
      <c r="H1305">
        <v>0</v>
      </c>
      <c r="I1305">
        <v>0</v>
      </c>
      <c r="J1305">
        <v>20</v>
      </c>
      <c r="K1305">
        <v>20</v>
      </c>
      <c r="N1305">
        <v>6</v>
      </c>
      <c r="O1305">
        <v>6</v>
      </c>
      <c r="P1305">
        <v>4</v>
      </c>
      <c r="Q1305">
        <v>0</v>
      </c>
      <c r="R1305">
        <v>46.98</v>
      </c>
      <c r="S1305">
        <v>0</v>
      </c>
      <c r="T1305">
        <v>0</v>
      </c>
      <c r="U1305">
        <v>6</v>
      </c>
      <c r="V1305">
        <v>0</v>
      </c>
      <c r="X1305">
        <v>52.98</v>
      </c>
    </row>
    <row r="1306" spans="1:24" ht="15">
      <c r="A1306">
        <v>1299</v>
      </c>
      <c r="B1306">
        <v>84999</v>
      </c>
      <c r="C1306" t="s">
        <v>994</v>
      </c>
      <c r="D1306" t="s">
        <v>253</v>
      </c>
      <c r="E1306" t="s">
        <v>95</v>
      </c>
      <c r="F1306" t="str">
        <f>"00020478"</f>
        <v>00020478</v>
      </c>
      <c r="G1306">
        <v>21.9</v>
      </c>
      <c r="H1306">
        <v>0</v>
      </c>
      <c r="I1306">
        <v>0</v>
      </c>
      <c r="J1306">
        <v>20</v>
      </c>
      <c r="K1306">
        <v>20</v>
      </c>
      <c r="L1306">
        <v>7</v>
      </c>
      <c r="O1306">
        <v>7</v>
      </c>
      <c r="P1306">
        <v>4</v>
      </c>
      <c r="Q1306">
        <v>0</v>
      </c>
      <c r="R1306">
        <v>52.9</v>
      </c>
      <c r="S1306">
        <v>0</v>
      </c>
      <c r="T1306">
        <v>0</v>
      </c>
      <c r="U1306">
        <v>0</v>
      </c>
      <c r="V1306">
        <v>0</v>
      </c>
      <c r="X1306">
        <v>52.9</v>
      </c>
    </row>
    <row r="1307" spans="1:24" ht="15">
      <c r="A1307">
        <v>1300</v>
      </c>
      <c r="B1307">
        <v>50814</v>
      </c>
      <c r="C1307" t="s">
        <v>532</v>
      </c>
      <c r="D1307" t="s">
        <v>396</v>
      </c>
      <c r="E1307" t="s">
        <v>151</v>
      </c>
      <c r="F1307" t="str">
        <f>"00619823"</f>
        <v>00619823</v>
      </c>
      <c r="G1307">
        <v>17.78</v>
      </c>
      <c r="H1307">
        <v>0</v>
      </c>
      <c r="I1307">
        <v>0</v>
      </c>
      <c r="J1307">
        <v>28</v>
      </c>
      <c r="K1307">
        <v>28</v>
      </c>
      <c r="N1307">
        <v>3</v>
      </c>
      <c r="O1307">
        <v>3</v>
      </c>
      <c r="P1307">
        <v>4</v>
      </c>
      <c r="Q1307">
        <v>0</v>
      </c>
      <c r="R1307">
        <v>52.78</v>
      </c>
      <c r="S1307">
        <v>0</v>
      </c>
      <c r="T1307">
        <v>0</v>
      </c>
      <c r="U1307">
        <v>0</v>
      </c>
      <c r="V1307">
        <v>0</v>
      </c>
      <c r="X1307">
        <v>52.78</v>
      </c>
    </row>
    <row r="1308" spans="1:24" ht="15">
      <c r="A1308">
        <v>1301</v>
      </c>
      <c r="B1308">
        <v>95358</v>
      </c>
      <c r="C1308" t="s">
        <v>1000</v>
      </c>
      <c r="D1308" t="s">
        <v>1001</v>
      </c>
      <c r="E1308" t="s">
        <v>12</v>
      </c>
      <c r="F1308" t="str">
        <f>"00590905"</f>
        <v>00590905</v>
      </c>
      <c r="G1308">
        <v>19.7</v>
      </c>
      <c r="H1308">
        <v>0</v>
      </c>
      <c r="I1308">
        <v>0</v>
      </c>
      <c r="J1308">
        <v>20</v>
      </c>
      <c r="K1308">
        <v>20</v>
      </c>
      <c r="N1308">
        <v>6</v>
      </c>
      <c r="O1308">
        <v>6</v>
      </c>
      <c r="P1308">
        <v>4</v>
      </c>
      <c r="Q1308">
        <v>0</v>
      </c>
      <c r="R1308">
        <v>49.7</v>
      </c>
      <c r="S1308">
        <v>0</v>
      </c>
      <c r="T1308">
        <v>0</v>
      </c>
      <c r="U1308">
        <v>3</v>
      </c>
      <c r="V1308">
        <v>0</v>
      </c>
      <c r="X1308">
        <v>52.7</v>
      </c>
    </row>
    <row r="1309" spans="1:24" ht="15">
      <c r="A1309">
        <v>1302</v>
      </c>
      <c r="B1309">
        <v>8055</v>
      </c>
      <c r="C1309" t="s">
        <v>946</v>
      </c>
      <c r="D1309" t="s">
        <v>186</v>
      </c>
      <c r="E1309" t="s">
        <v>12</v>
      </c>
      <c r="F1309" t="str">
        <f>"00215822"</f>
        <v>00215822</v>
      </c>
      <c r="G1309">
        <v>20.65</v>
      </c>
      <c r="H1309">
        <v>0</v>
      </c>
      <c r="I1309">
        <v>0</v>
      </c>
      <c r="J1309">
        <v>20</v>
      </c>
      <c r="K1309">
        <v>20</v>
      </c>
      <c r="M1309">
        <v>5</v>
      </c>
      <c r="O1309">
        <v>5</v>
      </c>
      <c r="P1309">
        <v>4</v>
      </c>
      <c r="Q1309">
        <v>0</v>
      </c>
      <c r="R1309">
        <v>49.65</v>
      </c>
      <c r="S1309">
        <v>0</v>
      </c>
      <c r="T1309">
        <v>0</v>
      </c>
      <c r="U1309">
        <v>3</v>
      </c>
      <c r="V1309">
        <v>0</v>
      </c>
      <c r="X1309">
        <v>52.65</v>
      </c>
    </row>
    <row r="1310" spans="1:24" ht="15">
      <c r="A1310">
        <v>1303</v>
      </c>
      <c r="B1310">
        <v>8502</v>
      </c>
      <c r="C1310" t="s">
        <v>1003</v>
      </c>
      <c r="D1310" t="s">
        <v>75</v>
      </c>
      <c r="E1310" t="s">
        <v>124</v>
      </c>
      <c r="F1310" t="str">
        <f>"00143598"</f>
        <v>00143598</v>
      </c>
      <c r="G1310">
        <v>18.65</v>
      </c>
      <c r="H1310">
        <v>0</v>
      </c>
      <c r="I1310">
        <v>0</v>
      </c>
      <c r="J1310">
        <v>20</v>
      </c>
      <c r="K1310">
        <v>20</v>
      </c>
      <c r="L1310">
        <v>7</v>
      </c>
      <c r="O1310">
        <v>7</v>
      </c>
      <c r="P1310">
        <v>4</v>
      </c>
      <c r="Q1310">
        <v>0</v>
      </c>
      <c r="R1310">
        <v>49.65</v>
      </c>
      <c r="S1310">
        <v>0</v>
      </c>
      <c r="T1310">
        <v>0</v>
      </c>
      <c r="U1310">
        <v>3</v>
      </c>
      <c r="V1310">
        <v>0</v>
      </c>
      <c r="X1310">
        <v>52.65</v>
      </c>
    </row>
    <row r="1311" spans="1:24" ht="15">
      <c r="A1311">
        <v>1304</v>
      </c>
      <c r="B1311">
        <v>81025</v>
      </c>
      <c r="C1311" t="s">
        <v>1004</v>
      </c>
      <c r="D1311" t="s">
        <v>1005</v>
      </c>
      <c r="E1311" t="s">
        <v>135</v>
      </c>
      <c r="F1311" t="str">
        <f>"00635406"</f>
        <v>00635406</v>
      </c>
      <c r="G1311">
        <v>18.65</v>
      </c>
      <c r="H1311">
        <v>0</v>
      </c>
      <c r="I1311">
        <v>0</v>
      </c>
      <c r="J1311">
        <v>20</v>
      </c>
      <c r="K1311">
        <v>20</v>
      </c>
      <c r="L1311">
        <v>7</v>
      </c>
      <c r="O1311">
        <v>7</v>
      </c>
      <c r="P1311">
        <v>4</v>
      </c>
      <c r="Q1311">
        <v>0</v>
      </c>
      <c r="R1311">
        <v>49.65</v>
      </c>
      <c r="S1311">
        <v>0</v>
      </c>
      <c r="T1311">
        <v>0</v>
      </c>
      <c r="U1311">
        <v>3</v>
      </c>
      <c r="V1311">
        <v>0</v>
      </c>
      <c r="X1311">
        <v>52.65</v>
      </c>
    </row>
    <row r="1312" spans="1:24" ht="15">
      <c r="A1312">
        <v>1305</v>
      </c>
      <c r="B1312">
        <v>78304</v>
      </c>
      <c r="C1312" t="s">
        <v>1006</v>
      </c>
      <c r="D1312" t="s">
        <v>46</v>
      </c>
      <c r="E1312" t="s">
        <v>12</v>
      </c>
      <c r="F1312" t="str">
        <f>"201504005392"</f>
        <v>201504005392</v>
      </c>
      <c r="G1312">
        <v>18.63</v>
      </c>
      <c r="H1312">
        <v>0</v>
      </c>
      <c r="I1312">
        <v>0</v>
      </c>
      <c r="J1312">
        <v>20</v>
      </c>
      <c r="K1312">
        <v>20</v>
      </c>
      <c r="L1312">
        <v>7</v>
      </c>
      <c r="N1312">
        <v>3</v>
      </c>
      <c r="O1312">
        <v>10</v>
      </c>
      <c r="P1312">
        <v>4</v>
      </c>
      <c r="Q1312">
        <v>0</v>
      </c>
      <c r="R1312">
        <v>52.63</v>
      </c>
      <c r="S1312">
        <v>0</v>
      </c>
      <c r="T1312">
        <v>0</v>
      </c>
      <c r="U1312">
        <v>0</v>
      </c>
      <c r="V1312">
        <v>0</v>
      </c>
      <c r="X1312">
        <v>52.63</v>
      </c>
    </row>
    <row r="1313" spans="1:24" ht="15">
      <c r="A1313">
        <v>1306</v>
      </c>
      <c r="B1313">
        <v>21382</v>
      </c>
      <c r="C1313" t="s">
        <v>36</v>
      </c>
      <c r="D1313" t="s">
        <v>46</v>
      </c>
      <c r="E1313" t="s">
        <v>23</v>
      </c>
      <c r="F1313" t="str">
        <f>"00225127"</f>
        <v>00225127</v>
      </c>
      <c r="G1313">
        <v>15.58</v>
      </c>
      <c r="H1313">
        <v>0</v>
      </c>
      <c r="I1313">
        <v>0</v>
      </c>
      <c r="J1313">
        <v>20</v>
      </c>
      <c r="K1313">
        <v>20</v>
      </c>
      <c r="L1313">
        <v>7</v>
      </c>
      <c r="N1313">
        <v>3</v>
      </c>
      <c r="O1313">
        <v>10</v>
      </c>
      <c r="P1313">
        <v>4</v>
      </c>
      <c r="Q1313">
        <v>0</v>
      </c>
      <c r="R1313">
        <v>49.58</v>
      </c>
      <c r="S1313">
        <v>0</v>
      </c>
      <c r="T1313">
        <v>0</v>
      </c>
      <c r="U1313">
        <v>3</v>
      </c>
      <c r="V1313">
        <v>0</v>
      </c>
      <c r="X1313">
        <v>52.58</v>
      </c>
    </row>
    <row r="1314" spans="1:24" ht="15">
      <c r="A1314">
        <v>1307</v>
      </c>
      <c r="B1314">
        <v>78811</v>
      </c>
      <c r="C1314" t="s">
        <v>1014</v>
      </c>
      <c r="D1314" t="s">
        <v>16</v>
      </c>
      <c r="E1314" t="s">
        <v>360</v>
      </c>
      <c r="F1314" t="str">
        <f>"00163494"</f>
        <v>00163494</v>
      </c>
      <c r="G1314">
        <v>18.53</v>
      </c>
      <c r="H1314">
        <v>0</v>
      </c>
      <c r="I1314">
        <v>0</v>
      </c>
      <c r="J1314">
        <v>20</v>
      </c>
      <c r="K1314">
        <v>20</v>
      </c>
      <c r="L1314">
        <v>7</v>
      </c>
      <c r="N1314">
        <v>3</v>
      </c>
      <c r="O1314">
        <v>10</v>
      </c>
      <c r="P1314">
        <v>4</v>
      </c>
      <c r="Q1314">
        <v>0</v>
      </c>
      <c r="R1314">
        <v>52.53</v>
      </c>
      <c r="S1314">
        <v>0</v>
      </c>
      <c r="T1314">
        <v>0</v>
      </c>
      <c r="U1314">
        <v>0</v>
      </c>
      <c r="V1314">
        <v>0</v>
      </c>
      <c r="X1314">
        <v>52.53</v>
      </c>
    </row>
    <row r="1315" spans="1:24" ht="15">
      <c r="A1315">
        <v>1308</v>
      </c>
      <c r="B1315">
        <v>63914</v>
      </c>
      <c r="C1315" t="s">
        <v>1015</v>
      </c>
      <c r="D1315" t="s">
        <v>17</v>
      </c>
      <c r="E1315" t="s">
        <v>145</v>
      </c>
      <c r="F1315" t="str">
        <f>"00185129"</f>
        <v>00185129</v>
      </c>
      <c r="G1315">
        <v>17.53</v>
      </c>
      <c r="H1315">
        <v>0</v>
      </c>
      <c r="I1315">
        <v>0</v>
      </c>
      <c r="J1315">
        <v>28</v>
      </c>
      <c r="K1315">
        <v>28</v>
      </c>
      <c r="N1315">
        <v>3</v>
      </c>
      <c r="O1315">
        <v>3</v>
      </c>
      <c r="P1315">
        <v>4</v>
      </c>
      <c r="Q1315">
        <v>0</v>
      </c>
      <c r="R1315">
        <v>52.53</v>
      </c>
      <c r="S1315">
        <v>0</v>
      </c>
      <c r="T1315">
        <v>0</v>
      </c>
      <c r="U1315">
        <v>0</v>
      </c>
      <c r="V1315">
        <v>0</v>
      </c>
      <c r="X1315">
        <v>52.53</v>
      </c>
    </row>
    <row r="1316" spans="1:24" ht="15">
      <c r="A1316">
        <v>1309</v>
      </c>
      <c r="B1316">
        <v>82726</v>
      </c>
      <c r="C1316" t="s">
        <v>1016</v>
      </c>
      <c r="D1316" t="s">
        <v>16</v>
      </c>
      <c r="E1316" t="s">
        <v>12</v>
      </c>
      <c r="F1316" t="str">
        <f>"00458735"</f>
        <v>00458735</v>
      </c>
      <c r="G1316">
        <v>18.5</v>
      </c>
      <c r="H1316">
        <v>0</v>
      </c>
      <c r="I1316">
        <v>0</v>
      </c>
      <c r="J1316">
        <v>28</v>
      </c>
      <c r="K1316">
        <v>28</v>
      </c>
      <c r="N1316">
        <v>6</v>
      </c>
      <c r="O1316">
        <v>6</v>
      </c>
      <c r="P1316">
        <v>0</v>
      </c>
      <c r="Q1316">
        <v>0</v>
      </c>
      <c r="R1316">
        <v>52.5</v>
      </c>
      <c r="S1316">
        <v>0</v>
      </c>
      <c r="T1316">
        <v>0</v>
      </c>
      <c r="U1316">
        <v>0</v>
      </c>
      <c r="V1316">
        <v>0</v>
      </c>
      <c r="X1316">
        <v>52.5</v>
      </c>
    </row>
    <row r="1317" spans="1:24" ht="15">
      <c r="A1317">
        <v>1310</v>
      </c>
      <c r="B1317">
        <v>24491</v>
      </c>
      <c r="C1317" t="s">
        <v>1019</v>
      </c>
      <c r="D1317" t="s">
        <v>12</v>
      </c>
      <c r="E1317" t="s">
        <v>21</v>
      </c>
      <c r="F1317" t="str">
        <f>"00603223"</f>
        <v>00603223</v>
      </c>
      <c r="G1317">
        <v>12.5</v>
      </c>
      <c r="H1317">
        <v>0</v>
      </c>
      <c r="I1317">
        <v>0</v>
      </c>
      <c r="J1317">
        <v>0</v>
      </c>
      <c r="K1317">
        <v>0</v>
      </c>
      <c r="O1317">
        <v>0</v>
      </c>
      <c r="P1317">
        <v>0</v>
      </c>
      <c r="Q1317">
        <v>0</v>
      </c>
      <c r="R1317">
        <v>12.5</v>
      </c>
      <c r="S1317">
        <v>40</v>
      </c>
      <c r="T1317">
        <v>40</v>
      </c>
      <c r="U1317">
        <v>0</v>
      </c>
      <c r="V1317">
        <v>0</v>
      </c>
      <c r="X1317">
        <v>52.5</v>
      </c>
    </row>
    <row r="1318" spans="1:24" ht="15">
      <c r="A1318">
        <v>1311</v>
      </c>
      <c r="B1318">
        <v>59170</v>
      </c>
      <c r="C1318" t="s">
        <v>1020</v>
      </c>
      <c r="D1318" t="s">
        <v>75</v>
      </c>
      <c r="E1318" t="s">
        <v>1021</v>
      </c>
      <c r="F1318" t="str">
        <f>"00007823"</f>
        <v>00007823</v>
      </c>
      <c r="G1318">
        <v>19.48</v>
      </c>
      <c r="H1318">
        <v>0</v>
      </c>
      <c r="I1318">
        <v>0</v>
      </c>
      <c r="J1318">
        <v>20</v>
      </c>
      <c r="K1318">
        <v>20</v>
      </c>
      <c r="N1318">
        <v>3</v>
      </c>
      <c r="O1318">
        <v>3</v>
      </c>
      <c r="P1318">
        <v>4</v>
      </c>
      <c r="Q1318">
        <v>0</v>
      </c>
      <c r="R1318">
        <v>46.48</v>
      </c>
      <c r="S1318">
        <v>0</v>
      </c>
      <c r="T1318">
        <v>0</v>
      </c>
      <c r="U1318">
        <v>6</v>
      </c>
      <c r="V1318">
        <v>0</v>
      </c>
      <c r="X1318">
        <v>52.48</v>
      </c>
    </row>
    <row r="1319" spans="1:24" ht="15">
      <c r="A1319">
        <v>1312</v>
      </c>
      <c r="B1319">
        <v>52335</v>
      </c>
      <c r="C1319" t="s">
        <v>1025</v>
      </c>
      <c r="D1319" t="s">
        <v>21</v>
      </c>
      <c r="E1319" t="s">
        <v>23</v>
      </c>
      <c r="F1319" t="str">
        <f>"201402006927"</f>
        <v>201402006927</v>
      </c>
      <c r="G1319">
        <v>21.45</v>
      </c>
      <c r="H1319">
        <v>0</v>
      </c>
      <c r="I1319">
        <v>0</v>
      </c>
      <c r="J1319">
        <v>20</v>
      </c>
      <c r="K1319">
        <v>20</v>
      </c>
      <c r="L1319">
        <v>7</v>
      </c>
      <c r="O1319">
        <v>7</v>
      </c>
      <c r="P1319">
        <v>4</v>
      </c>
      <c r="Q1319">
        <v>0</v>
      </c>
      <c r="R1319">
        <v>52.45</v>
      </c>
      <c r="S1319">
        <v>0</v>
      </c>
      <c r="T1319">
        <v>0</v>
      </c>
      <c r="U1319">
        <v>0</v>
      </c>
      <c r="V1319">
        <v>0</v>
      </c>
      <c r="X1319">
        <v>52.45</v>
      </c>
    </row>
    <row r="1320" spans="1:24" ht="15">
      <c r="A1320">
        <v>1313</v>
      </c>
      <c r="B1320">
        <v>112626</v>
      </c>
      <c r="C1320" t="s">
        <v>1035</v>
      </c>
      <c r="D1320" t="s">
        <v>17</v>
      </c>
      <c r="E1320" t="s">
        <v>109</v>
      </c>
      <c r="F1320" t="str">
        <f>"00640436"</f>
        <v>00640436</v>
      </c>
      <c r="G1320">
        <v>17.25</v>
      </c>
      <c r="H1320">
        <v>0</v>
      </c>
      <c r="I1320">
        <v>0</v>
      </c>
      <c r="J1320">
        <v>20</v>
      </c>
      <c r="K1320">
        <v>20</v>
      </c>
      <c r="M1320">
        <v>5</v>
      </c>
      <c r="O1320">
        <v>5</v>
      </c>
      <c r="P1320">
        <v>4</v>
      </c>
      <c r="Q1320">
        <v>0</v>
      </c>
      <c r="R1320">
        <v>46.25</v>
      </c>
      <c r="S1320">
        <v>0</v>
      </c>
      <c r="T1320">
        <v>0</v>
      </c>
      <c r="U1320">
        <v>6</v>
      </c>
      <c r="V1320">
        <v>0</v>
      </c>
      <c r="X1320">
        <v>52.25</v>
      </c>
    </row>
    <row r="1321" spans="1:24" ht="15">
      <c r="A1321">
        <v>1314</v>
      </c>
      <c r="B1321">
        <v>44369</v>
      </c>
      <c r="C1321" t="s">
        <v>1040</v>
      </c>
      <c r="D1321" t="s">
        <v>480</v>
      </c>
      <c r="E1321" t="s">
        <v>113</v>
      </c>
      <c r="F1321" t="str">
        <f>"00620365"</f>
        <v>00620365</v>
      </c>
      <c r="G1321">
        <v>21.23</v>
      </c>
      <c r="H1321">
        <v>0</v>
      </c>
      <c r="I1321">
        <v>0</v>
      </c>
      <c r="J1321">
        <v>20</v>
      </c>
      <c r="K1321">
        <v>20</v>
      </c>
      <c r="L1321">
        <v>7</v>
      </c>
      <c r="O1321">
        <v>7</v>
      </c>
      <c r="P1321">
        <v>4</v>
      </c>
      <c r="Q1321">
        <v>0</v>
      </c>
      <c r="R1321">
        <v>52.23</v>
      </c>
      <c r="S1321">
        <v>0</v>
      </c>
      <c r="T1321">
        <v>0</v>
      </c>
      <c r="U1321">
        <v>0</v>
      </c>
      <c r="V1321">
        <v>0</v>
      </c>
      <c r="X1321">
        <v>52.23</v>
      </c>
    </row>
    <row r="1322" spans="1:24" ht="15">
      <c r="A1322">
        <v>1315</v>
      </c>
      <c r="B1322">
        <v>105786</v>
      </c>
      <c r="C1322" t="s">
        <v>1042</v>
      </c>
      <c r="D1322" t="s">
        <v>1043</v>
      </c>
      <c r="E1322" t="s">
        <v>60</v>
      </c>
      <c r="F1322" t="str">
        <f>"00561659"</f>
        <v>00561659</v>
      </c>
      <c r="G1322">
        <v>16.15</v>
      </c>
      <c r="H1322">
        <v>7</v>
      </c>
      <c r="I1322">
        <v>0</v>
      </c>
      <c r="J1322">
        <v>0</v>
      </c>
      <c r="K1322">
        <v>0</v>
      </c>
      <c r="L1322">
        <v>7</v>
      </c>
      <c r="N1322">
        <v>3</v>
      </c>
      <c r="O1322">
        <v>10</v>
      </c>
      <c r="P1322">
        <v>4</v>
      </c>
      <c r="Q1322">
        <v>0</v>
      </c>
      <c r="R1322">
        <v>37.15</v>
      </c>
      <c r="S1322">
        <v>0</v>
      </c>
      <c r="T1322">
        <v>0</v>
      </c>
      <c r="U1322">
        <v>15</v>
      </c>
      <c r="V1322">
        <v>0</v>
      </c>
      <c r="X1322">
        <v>52.15</v>
      </c>
    </row>
    <row r="1323" spans="1:24" ht="15">
      <c r="A1323">
        <v>1316</v>
      </c>
      <c r="B1323">
        <v>32193</v>
      </c>
      <c r="C1323" t="s">
        <v>1044</v>
      </c>
      <c r="D1323" t="s">
        <v>873</v>
      </c>
      <c r="E1323" t="s">
        <v>289</v>
      </c>
      <c r="F1323" t="str">
        <f>"201511034848"</f>
        <v>201511034848</v>
      </c>
      <c r="G1323">
        <v>21.15</v>
      </c>
      <c r="H1323">
        <v>0</v>
      </c>
      <c r="I1323">
        <v>0</v>
      </c>
      <c r="J1323">
        <v>20</v>
      </c>
      <c r="K1323">
        <v>20</v>
      </c>
      <c r="L1323">
        <v>7</v>
      </c>
      <c r="O1323">
        <v>7</v>
      </c>
      <c r="P1323">
        <v>4</v>
      </c>
      <c r="Q1323">
        <v>0</v>
      </c>
      <c r="R1323">
        <v>52.15</v>
      </c>
      <c r="S1323">
        <v>0</v>
      </c>
      <c r="T1323">
        <v>0</v>
      </c>
      <c r="U1323">
        <v>0</v>
      </c>
      <c r="V1323">
        <v>0</v>
      </c>
      <c r="X1323">
        <v>52.15</v>
      </c>
    </row>
    <row r="1324" spans="1:24" ht="15">
      <c r="A1324">
        <v>1317</v>
      </c>
      <c r="B1324">
        <v>44312</v>
      </c>
      <c r="C1324" t="s">
        <v>1045</v>
      </c>
      <c r="D1324" t="s">
        <v>194</v>
      </c>
      <c r="E1324" t="s">
        <v>23</v>
      </c>
      <c r="F1324" t="str">
        <f>"201504001401"</f>
        <v>201504001401</v>
      </c>
      <c r="G1324">
        <v>18.15</v>
      </c>
      <c r="H1324">
        <v>0</v>
      </c>
      <c r="I1324">
        <v>0</v>
      </c>
      <c r="J1324">
        <v>20</v>
      </c>
      <c r="K1324">
        <v>20</v>
      </c>
      <c r="L1324">
        <v>7</v>
      </c>
      <c r="N1324">
        <v>3</v>
      </c>
      <c r="O1324">
        <v>10</v>
      </c>
      <c r="P1324">
        <v>4</v>
      </c>
      <c r="Q1324">
        <v>0</v>
      </c>
      <c r="R1324">
        <v>52.15</v>
      </c>
      <c r="S1324">
        <v>0</v>
      </c>
      <c r="T1324">
        <v>0</v>
      </c>
      <c r="U1324">
        <v>0</v>
      </c>
      <c r="V1324">
        <v>0</v>
      </c>
      <c r="X1324">
        <v>52.15</v>
      </c>
    </row>
    <row r="1325" spans="1:24" ht="15">
      <c r="A1325">
        <v>1318</v>
      </c>
      <c r="B1325">
        <v>94478</v>
      </c>
      <c r="C1325" t="s">
        <v>1046</v>
      </c>
      <c r="D1325" t="s">
        <v>1047</v>
      </c>
      <c r="E1325" t="s">
        <v>30</v>
      </c>
      <c r="F1325" t="str">
        <f>"00020937"</f>
        <v>00020937</v>
      </c>
      <c r="G1325">
        <v>18.1</v>
      </c>
      <c r="H1325">
        <v>0</v>
      </c>
      <c r="I1325">
        <v>0</v>
      </c>
      <c r="J1325">
        <v>20</v>
      </c>
      <c r="K1325">
        <v>20</v>
      </c>
      <c r="L1325">
        <v>7</v>
      </c>
      <c r="O1325">
        <v>7</v>
      </c>
      <c r="P1325">
        <v>4</v>
      </c>
      <c r="Q1325">
        <v>0</v>
      </c>
      <c r="R1325">
        <v>49.1</v>
      </c>
      <c r="S1325">
        <v>0</v>
      </c>
      <c r="T1325">
        <v>0</v>
      </c>
      <c r="U1325">
        <v>3</v>
      </c>
      <c r="V1325">
        <v>0</v>
      </c>
      <c r="X1325">
        <v>52.1</v>
      </c>
    </row>
    <row r="1326" spans="1:24" ht="15">
      <c r="A1326">
        <v>1319</v>
      </c>
      <c r="B1326">
        <v>70765</v>
      </c>
      <c r="C1326" t="s">
        <v>1048</v>
      </c>
      <c r="D1326" t="s">
        <v>27</v>
      </c>
      <c r="E1326" t="s">
        <v>23</v>
      </c>
      <c r="F1326" t="str">
        <f>"00474087"</f>
        <v>00474087</v>
      </c>
      <c r="G1326">
        <v>16.1</v>
      </c>
      <c r="H1326">
        <v>0</v>
      </c>
      <c r="I1326">
        <v>0</v>
      </c>
      <c r="J1326">
        <v>28</v>
      </c>
      <c r="K1326">
        <v>28</v>
      </c>
      <c r="M1326">
        <v>5</v>
      </c>
      <c r="N1326">
        <v>3</v>
      </c>
      <c r="O1326">
        <v>8</v>
      </c>
      <c r="P1326">
        <v>0</v>
      </c>
      <c r="Q1326">
        <v>0</v>
      </c>
      <c r="R1326">
        <v>52.1</v>
      </c>
      <c r="S1326">
        <v>0</v>
      </c>
      <c r="T1326">
        <v>0</v>
      </c>
      <c r="U1326">
        <v>0</v>
      </c>
      <c r="V1326">
        <v>0</v>
      </c>
      <c r="X1326">
        <v>52.1</v>
      </c>
    </row>
    <row r="1327" spans="1:24" ht="15">
      <c r="A1327">
        <v>1320</v>
      </c>
      <c r="B1327">
        <v>114938</v>
      </c>
      <c r="C1327" t="s">
        <v>1049</v>
      </c>
      <c r="D1327" t="s">
        <v>201</v>
      </c>
      <c r="E1327" t="s">
        <v>27</v>
      </c>
      <c r="F1327" t="str">
        <f>"00638516"</f>
        <v>00638516</v>
      </c>
      <c r="G1327">
        <v>21.05</v>
      </c>
      <c r="H1327">
        <v>0</v>
      </c>
      <c r="I1327">
        <v>0</v>
      </c>
      <c r="J1327">
        <v>20</v>
      </c>
      <c r="K1327">
        <v>20</v>
      </c>
      <c r="L1327">
        <v>7</v>
      </c>
      <c r="O1327">
        <v>7</v>
      </c>
      <c r="P1327">
        <v>4</v>
      </c>
      <c r="Q1327">
        <v>0</v>
      </c>
      <c r="R1327">
        <v>52.05</v>
      </c>
      <c r="S1327">
        <v>0</v>
      </c>
      <c r="T1327">
        <v>0</v>
      </c>
      <c r="U1327">
        <v>0</v>
      </c>
      <c r="V1327">
        <v>0</v>
      </c>
      <c r="X1327">
        <v>52.05</v>
      </c>
    </row>
    <row r="1328" spans="1:24" ht="15">
      <c r="A1328">
        <v>1321</v>
      </c>
      <c r="B1328">
        <v>52374</v>
      </c>
      <c r="C1328" t="s">
        <v>1050</v>
      </c>
      <c r="D1328" t="s">
        <v>124</v>
      </c>
      <c r="E1328" t="s">
        <v>288</v>
      </c>
      <c r="F1328" t="str">
        <f>"00623023"</f>
        <v>00623023</v>
      </c>
      <c r="G1328">
        <v>17.05</v>
      </c>
      <c r="H1328">
        <v>0</v>
      </c>
      <c r="I1328">
        <v>0</v>
      </c>
      <c r="J1328">
        <v>28</v>
      </c>
      <c r="K1328">
        <v>28</v>
      </c>
      <c r="N1328">
        <v>3</v>
      </c>
      <c r="O1328">
        <v>3</v>
      </c>
      <c r="P1328">
        <v>4</v>
      </c>
      <c r="Q1328">
        <v>0</v>
      </c>
      <c r="R1328">
        <v>52.05</v>
      </c>
      <c r="S1328">
        <v>0</v>
      </c>
      <c r="T1328">
        <v>0</v>
      </c>
      <c r="U1328">
        <v>0</v>
      </c>
      <c r="V1328">
        <v>0</v>
      </c>
      <c r="X1328">
        <v>52.05</v>
      </c>
    </row>
    <row r="1329" spans="1:24" ht="15">
      <c r="A1329">
        <v>1322</v>
      </c>
      <c r="B1329">
        <v>102306</v>
      </c>
      <c r="C1329" t="s">
        <v>1058</v>
      </c>
      <c r="D1329" t="s">
        <v>474</v>
      </c>
      <c r="E1329" t="s">
        <v>120</v>
      </c>
      <c r="F1329" t="str">
        <f>"00318698"</f>
        <v>00318698</v>
      </c>
      <c r="G1329">
        <v>14.95</v>
      </c>
      <c r="H1329">
        <v>0</v>
      </c>
      <c r="I1329">
        <v>0</v>
      </c>
      <c r="J1329">
        <v>20</v>
      </c>
      <c r="K1329">
        <v>20</v>
      </c>
      <c r="L1329">
        <v>7</v>
      </c>
      <c r="N1329">
        <v>3</v>
      </c>
      <c r="O1329">
        <v>10</v>
      </c>
      <c r="P1329">
        <v>4</v>
      </c>
      <c r="Q1329">
        <v>0</v>
      </c>
      <c r="R1329">
        <v>48.95</v>
      </c>
      <c r="S1329">
        <v>0</v>
      </c>
      <c r="T1329">
        <v>0</v>
      </c>
      <c r="U1329">
        <v>3</v>
      </c>
      <c r="V1329">
        <v>0</v>
      </c>
      <c r="X1329">
        <v>51.95</v>
      </c>
    </row>
    <row r="1330" spans="1:24" ht="15">
      <c r="A1330">
        <v>1323</v>
      </c>
      <c r="B1330">
        <v>65473</v>
      </c>
      <c r="C1330" t="s">
        <v>1059</v>
      </c>
      <c r="D1330" t="s">
        <v>683</v>
      </c>
      <c r="E1330" t="s">
        <v>240</v>
      </c>
      <c r="F1330" t="str">
        <f>"00547095"</f>
        <v>00547095</v>
      </c>
      <c r="G1330">
        <v>20.95</v>
      </c>
      <c r="H1330">
        <v>0</v>
      </c>
      <c r="I1330">
        <v>0</v>
      </c>
      <c r="J1330">
        <v>20</v>
      </c>
      <c r="K1330">
        <v>20</v>
      </c>
      <c r="L1330">
        <v>7</v>
      </c>
      <c r="O1330">
        <v>7</v>
      </c>
      <c r="P1330">
        <v>4</v>
      </c>
      <c r="Q1330">
        <v>0</v>
      </c>
      <c r="R1330">
        <v>51.95</v>
      </c>
      <c r="S1330">
        <v>0</v>
      </c>
      <c r="T1330">
        <v>0</v>
      </c>
      <c r="U1330">
        <v>0</v>
      </c>
      <c r="V1330">
        <v>0</v>
      </c>
      <c r="X1330">
        <v>51.95</v>
      </c>
    </row>
    <row r="1331" spans="1:24" ht="15">
      <c r="A1331">
        <v>1324</v>
      </c>
      <c r="B1331">
        <v>24738</v>
      </c>
      <c r="C1331" t="s">
        <v>1060</v>
      </c>
      <c r="D1331" t="s">
        <v>90</v>
      </c>
      <c r="E1331" t="s">
        <v>30</v>
      </c>
      <c r="F1331" t="str">
        <f>"00600807"</f>
        <v>00600807</v>
      </c>
      <c r="G1331">
        <v>21.93</v>
      </c>
      <c r="H1331">
        <v>0</v>
      </c>
      <c r="I1331">
        <v>0</v>
      </c>
      <c r="J1331">
        <v>20</v>
      </c>
      <c r="K1331">
        <v>20</v>
      </c>
      <c r="L1331">
        <v>7</v>
      </c>
      <c r="N1331">
        <v>3</v>
      </c>
      <c r="O1331">
        <v>10</v>
      </c>
      <c r="P1331">
        <v>0</v>
      </c>
      <c r="Q1331">
        <v>0</v>
      </c>
      <c r="R1331">
        <v>51.93</v>
      </c>
      <c r="S1331">
        <v>0</v>
      </c>
      <c r="T1331">
        <v>0</v>
      </c>
      <c r="U1331">
        <v>0</v>
      </c>
      <c r="V1331">
        <v>0</v>
      </c>
      <c r="X1331">
        <v>51.93</v>
      </c>
    </row>
    <row r="1332" spans="1:24" ht="15">
      <c r="A1332">
        <v>1325</v>
      </c>
      <c r="B1332">
        <v>10450</v>
      </c>
      <c r="C1332" t="s">
        <v>1062</v>
      </c>
      <c r="D1332" t="s">
        <v>43</v>
      </c>
      <c r="E1332" t="s">
        <v>91</v>
      </c>
      <c r="F1332" t="str">
        <f>"201511017846"</f>
        <v>201511017846</v>
      </c>
      <c r="G1332">
        <v>17.9</v>
      </c>
      <c r="H1332">
        <v>0</v>
      </c>
      <c r="I1332">
        <v>0</v>
      </c>
      <c r="J1332">
        <v>20</v>
      </c>
      <c r="K1332">
        <v>20</v>
      </c>
      <c r="L1332">
        <v>7</v>
      </c>
      <c r="O1332">
        <v>7</v>
      </c>
      <c r="P1332">
        <v>4</v>
      </c>
      <c r="Q1332">
        <v>0</v>
      </c>
      <c r="R1332">
        <v>48.9</v>
      </c>
      <c r="S1332">
        <v>0</v>
      </c>
      <c r="T1332">
        <v>0</v>
      </c>
      <c r="U1332">
        <v>3</v>
      </c>
      <c r="V1332">
        <v>0</v>
      </c>
      <c r="X1332">
        <v>51.9</v>
      </c>
    </row>
    <row r="1333" spans="1:24" ht="15">
      <c r="A1333">
        <v>1326</v>
      </c>
      <c r="B1333">
        <v>78038</v>
      </c>
      <c r="C1333" t="s">
        <v>1064</v>
      </c>
      <c r="D1333" t="s">
        <v>1065</v>
      </c>
      <c r="E1333" t="s">
        <v>465</v>
      </c>
      <c r="F1333" t="str">
        <f>"201304002655"</f>
        <v>201304002655</v>
      </c>
      <c r="G1333">
        <v>17.88</v>
      </c>
      <c r="H1333">
        <v>0</v>
      </c>
      <c r="I1333">
        <v>0</v>
      </c>
      <c r="J1333">
        <v>20</v>
      </c>
      <c r="K1333">
        <v>20</v>
      </c>
      <c r="L1333">
        <v>7</v>
      </c>
      <c r="N1333">
        <v>3</v>
      </c>
      <c r="O1333">
        <v>10</v>
      </c>
      <c r="P1333">
        <v>4</v>
      </c>
      <c r="Q1333">
        <v>0</v>
      </c>
      <c r="R1333">
        <v>51.88</v>
      </c>
      <c r="S1333">
        <v>0</v>
      </c>
      <c r="T1333">
        <v>0</v>
      </c>
      <c r="U1333">
        <v>0</v>
      </c>
      <c r="V1333">
        <v>0</v>
      </c>
      <c r="X1333">
        <v>51.88</v>
      </c>
    </row>
    <row r="1334" spans="1:24" ht="15">
      <c r="A1334">
        <v>1327</v>
      </c>
      <c r="B1334">
        <v>94753</v>
      </c>
      <c r="C1334" t="s">
        <v>1066</v>
      </c>
      <c r="D1334" t="s">
        <v>16</v>
      </c>
      <c r="E1334" t="s">
        <v>17</v>
      </c>
      <c r="F1334" t="str">
        <f>"201004000016"</f>
        <v>201004000016</v>
      </c>
      <c r="G1334">
        <v>20.85</v>
      </c>
      <c r="H1334">
        <v>0</v>
      </c>
      <c r="I1334">
        <v>0</v>
      </c>
      <c r="J1334">
        <v>20</v>
      </c>
      <c r="K1334">
        <v>20</v>
      </c>
      <c r="L1334">
        <v>7</v>
      </c>
      <c r="O1334">
        <v>7</v>
      </c>
      <c r="P1334">
        <v>4</v>
      </c>
      <c r="Q1334">
        <v>0</v>
      </c>
      <c r="R1334">
        <v>51.85</v>
      </c>
      <c r="S1334">
        <v>0</v>
      </c>
      <c r="T1334">
        <v>0</v>
      </c>
      <c r="U1334">
        <v>0</v>
      </c>
      <c r="V1334">
        <v>0</v>
      </c>
      <c r="X1334">
        <v>51.85</v>
      </c>
    </row>
    <row r="1335" spans="1:24" ht="15">
      <c r="A1335">
        <v>1328</v>
      </c>
      <c r="B1335">
        <v>94717</v>
      </c>
      <c r="C1335" t="s">
        <v>1070</v>
      </c>
      <c r="D1335" t="s">
        <v>135</v>
      </c>
      <c r="E1335" t="s">
        <v>1071</v>
      </c>
      <c r="F1335" t="str">
        <f>"00637768"</f>
        <v>00637768</v>
      </c>
      <c r="G1335">
        <v>17.85</v>
      </c>
      <c r="H1335">
        <v>0</v>
      </c>
      <c r="I1335">
        <v>0</v>
      </c>
      <c r="J1335">
        <v>20</v>
      </c>
      <c r="K1335">
        <v>20</v>
      </c>
      <c r="L1335">
        <v>7</v>
      </c>
      <c r="N1335">
        <v>3</v>
      </c>
      <c r="O1335">
        <v>10</v>
      </c>
      <c r="P1335">
        <v>4</v>
      </c>
      <c r="Q1335">
        <v>0</v>
      </c>
      <c r="R1335">
        <v>51.85</v>
      </c>
      <c r="S1335">
        <v>0</v>
      </c>
      <c r="T1335">
        <v>0</v>
      </c>
      <c r="U1335">
        <v>0</v>
      </c>
      <c r="V1335">
        <v>0</v>
      </c>
      <c r="X1335">
        <v>51.85</v>
      </c>
    </row>
    <row r="1336" spans="1:24" ht="15">
      <c r="A1336">
        <v>1329</v>
      </c>
      <c r="B1336">
        <v>103808</v>
      </c>
      <c r="C1336" t="s">
        <v>1072</v>
      </c>
      <c r="D1336" t="s">
        <v>39</v>
      </c>
      <c r="E1336" t="s">
        <v>215</v>
      </c>
      <c r="F1336" t="str">
        <f>"201506004137"</f>
        <v>201506004137</v>
      </c>
      <c r="G1336">
        <v>17.85</v>
      </c>
      <c r="H1336">
        <v>0</v>
      </c>
      <c r="I1336">
        <v>0</v>
      </c>
      <c r="J1336">
        <v>20</v>
      </c>
      <c r="K1336">
        <v>20</v>
      </c>
      <c r="L1336">
        <v>7</v>
      </c>
      <c r="N1336">
        <v>3</v>
      </c>
      <c r="O1336">
        <v>10</v>
      </c>
      <c r="P1336">
        <v>4</v>
      </c>
      <c r="Q1336">
        <v>0</v>
      </c>
      <c r="R1336">
        <v>51.85</v>
      </c>
      <c r="S1336">
        <v>0</v>
      </c>
      <c r="T1336">
        <v>0</v>
      </c>
      <c r="U1336">
        <v>0</v>
      </c>
      <c r="V1336">
        <v>0</v>
      </c>
      <c r="X1336">
        <v>51.85</v>
      </c>
    </row>
    <row r="1337" spans="1:24" ht="15">
      <c r="A1337">
        <v>1330</v>
      </c>
      <c r="B1337">
        <v>84670</v>
      </c>
      <c r="C1337" t="s">
        <v>1073</v>
      </c>
      <c r="D1337" t="s">
        <v>1074</v>
      </c>
      <c r="E1337" t="s">
        <v>353</v>
      </c>
      <c r="F1337" t="str">
        <f>"00013340"</f>
        <v>00013340</v>
      </c>
      <c r="G1337">
        <v>21.83</v>
      </c>
      <c r="H1337">
        <v>0</v>
      </c>
      <c r="I1337">
        <v>0</v>
      </c>
      <c r="J1337">
        <v>20</v>
      </c>
      <c r="K1337">
        <v>20</v>
      </c>
      <c r="N1337">
        <v>6</v>
      </c>
      <c r="O1337">
        <v>6</v>
      </c>
      <c r="P1337">
        <v>4</v>
      </c>
      <c r="Q1337">
        <v>0</v>
      </c>
      <c r="R1337">
        <v>51.83</v>
      </c>
      <c r="S1337">
        <v>0</v>
      </c>
      <c r="T1337">
        <v>0</v>
      </c>
      <c r="U1337">
        <v>0</v>
      </c>
      <c r="V1337">
        <v>0</v>
      </c>
      <c r="X1337">
        <v>51.83</v>
      </c>
    </row>
    <row r="1338" spans="1:24" ht="15">
      <c r="A1338">
        <v>1331</v>
      </c>
      <c r="B1338">
        <v>78360</v>
      </c>
      <c r="C1338" t="s">
        <v>1077</v>
      </c>
      <c r="D1338" t="s">
        <v>316</v>
      </c>
      <c r="E1338" t="s">
        <v>20</v>
      </c>
      <c r="F1338" t="str">
        <f>"00625264"</f>
        <v>00625264</v>
      </c>
      <c r="G1338">
        <v>20.73</v>
      </c>
      <c r="H1338">
        <v>0</v>
      </c>
      <c r="I1338">
        <v>0</v>
      </c>
      <c r="J1338">
        <v>20</v>
      </c>
      <c r="K1338">
        <v>20</v>
      </c>
      <c r="L1338">
        <v>7</v>
      </c>
      <c r="O1338">
        <v>7</v>
      </c>
      <c r="P1338">
        <v>4</v>
      </c>
      <c r="Q1338">
        <v>0</v>
      </c>
      <c r="R1338">
        <v>51.73</v>
      </c>
      <c r="S1338">
        <v>0</v>
      </c>
      <c r="T1338">
        <v>0</v>
      </c>
      <c r="U1338">
        <v>0</v>
      </c>
      <c r="V1338">
        <v>0</v>
      </c>
      <c r="X1338">
        <v>51.73</v>
      </c>
    </row>
    <row r="1339" spans="1:24" ht="15">
      <c r="A1339">
        <v>1332</v>
      </c>
      <c r="B1339">
        <v>89034</v>
      </c>
      <c r="C1339" t="s">
        <v>1078</v>
      </c>
      <c r="D1339" t="s">
        <v>1079</v>
      </c>
      <c r="E1339" t="s">
        <v>56</v>
      </c>
      <c r="F1339" t="str">
        <f>"00465186"</f>
        <v>00465186</v>
      </c>
      <c r="G1339">
        <v>20.73</v>
      </c>
      <c r="H1339">
        <v>0</v>
      </c>
      <c r="I1339">
        <v>0</v>
      </c>
      <c r="J1339">
        <v>20</v>
      </c>
      <c r="K1339">
        <v>20</v>
      </c>
      <c r="L1339">
        <v>7</v>
      </c>
      <c r="O1339">
        <v>7</v>
      </c>
      <c r="P1339">
        <v>4</v>
      </c>
      <c r="Q1339">
        <v>0</v>
      </c>
      <c r="R1339">
        <v>51.73</v>
      </c>
      <c r="S1339">
        <v>0</v>
      </c>
      <c r="T1339">
        <v>0</v>
      </c>
      <c r="U1339">
        <v>0</v>
      </c>
      <c r="V1339">
        <v>0</v>
      </c>
      <c r="X1339">
        <v>51.73</v>
      </c>
    </row>
    <row r="1340" spans="1:24" ht="15">
      <c r="A1340">
        <v>1333</v>
      </c>
      <c r="B1340">
        <v>28839</v>
      </c>
      <c r="C1340" t="s">
        <v>1080</v>
      </c>
      <c r="D1340" t="s">
        <v>349</v>
      </c>
      <c r="E1340" t="s">
        <v>21</v>
      </c>
      <c r="F1340" t="str">
        <f>"201301000118"</f>
        <v>201301000118</v>
      </c>
      <c r="G1340">
        <v>18.68</v>
      </c>
      <c r="H1340">
        <v>0</v>
      </c>
      <c r="I1340">
        <v>0</v>
      </c>
      <c r="J1340">
        <v>20</v>
      </c>
      <c r="K1340">
        <v>20</v>
      </c>
      <c r="N1340">
        <v>3</v>
      </c>
      <c r="O1340">
        <v>3</v>
      </c>
      <c r="P1340">
        <v>4</v>
      </c>
      <c r="Q1340">
        <v>0</v>
      </c>
      <c r="R1340">
        <v>45.68</v>
      </c>
      <c r="S1340">
        <v>0</v>
      </c>
      <c r="T1340">
        <v>0</v>
      </c>
      <c r="U1340">
        <v>6</v>
      </c>
      <c r="V1340">
        <v>0</v>
      </c>
      <c r="X1340">
        <v>51.68</v>
      </c>
    </row>
    <row r="1341" spans="1:24" ht="15">
      <c r="A1341">
        <v>1334</v>
      </c>
      <c r="B1341">
        <v>108886</v>
      </c>
      <c r="C1341" t="s">
        <v>1081</v>
      </c>
      <c r="D1341" t="s">
        <v>333</v>
      </c>
      <c r="E1341" t="s">
        <v>17</v>
      </c>
      <c r="F1341" t="str">
        <f>"00575684"</f>
        <v>00575684</v>
      </c>
      <c r="G1341">
        <v>17.68</v>
      </c>
      <c r="H1341">
        <v>0</v>
      </c>
      <c r="I1341">
        <v>0</v>
      </c>
      <c r="J1341">
        <v>20</v>
      </c>
      <c r="K1341">
        <v>20</v>
      </c>
      <c r="L1341">
        <v>7</v>
      </c>
      <c r="N1341">
        <v>3</v>
      </c>
      <c r="O1341">
        <v>10</v>
      </c>
      <c r="P1341">
        <v>4</v>
      </c>
      <c r="Q1341">
        <v>0</v>
      </c>
      <c r="R1341">
        <v>51.68</v>
      </c>
      <c r="S1341">
        <v>0</v>
      </c>
      <c r="T1341">
        <v>0</v>
      </c>
      <c r="U1341">
        <v>0</v>
      </c>
      <c r="V1341">
        <v>0</v>
      </c>
      <c r="X1341">
        <v>51.68</v>
      </c>
    </row>
    <row r="1342" spans="1:24" ht="15">
      <c r="A1342">
        <v>1335</v>
      </c>
      <c r="B1342">
        <v>22574</v>
      </c>
      <c r="C1342" t="s">
        <v>1082</v>
      </c>
      <c r="D1342" t="s">
        <v>66</v>
      </c>
      <c r="E1342" t="s">
        <v>12</v>
      </c>
      <c r="F1342" t="str">
        <f>"00159352"</f>
        <v>00159352</v>
      </c>
      <c r="G1342">
        <v>16.68</v>
      </c>
      <c r="H1342">
        <v>0</v>
      </c>
      <c r="I1342">
        <v>0</v>
      </c>
      <c r="J1342">
        <v>28</v>
      </c>
      <c r="K1342">
        <v>28</v>
      </c>
      <c r="N1342">
        <v>3</v>
      </c>
      <c r="O1342">
        <v>3</v>
      </c>
      <c r="P1342">
        <v>4</v>
      </c>
      <c r="Q1342">
        <v>0</v>
      </c>
      <c r="R1342">
        <v>51.68</v>
      </c>
      <c r="S1342">
        <v>0</v>
      </c>
      <c r="T1342">
        <v>0</v>
      </c>
      <c r="U1342">
        <v>0</v>
      </c>
      <c r="V1342">
        <v>0</v>
      </c>
      <c r="X1342">
        <v>51.68</v>
      </c>
    </row>
    <row r="1343" spans="1:24" ht="15">
      <c r="A1343">
        <v>1336</v>
      </c>
      <c r="B1343">
        <v>86058</v>
      </c>
      <c r="C1343" t="s">
        <v>1083</v>
      </c>
      <c r="D1343" t="s">
        <v>679</v>
      </c>
      <c r="E1343" t="s">
        <v>23</v>
      </c>
      <c r="F1343" t="str">
        <f>"00650560"</f>
        <v>00650560</v>
      </c>
      <c r="G1343">
        <v>20.65</v>
      </c>
      <c r="H1343">
        <v>0</v>
      </c>
      <c r="I1343">
        <v>0</v>
      </c>
      <c r="J1343">
        <v>20</v>
      </c>
      <c r="K1343">
        <v>20</v>
      </c>
      <c r="L1343">
        <v>7</v>
      </c>
      <c r="O1343">
        <v>7</v>
      </c>
      <c r="P1343">
        <v>4</v>
      </c>
      <c r="Q1343">
        <v>0</v>
      </c>
      <c r="R1343">
        <v>51.65</v>
      </c>
      <c r="S1343">
        <v>0</v>
      </c>
      <c r="T1343">
        <v>0</v>
      </c>
      <c r="U1343">
        <v>0</v>
      </c>
      <c r="V1343">
        <v>0</v>
      </c>
      <c r="X1343">
        <v>51.65</v>
      </c>
    </row>
    <row r="1344" spans="1:24" ht="15">
      <c r="A1344">
        <v>1337</v>
      </c>
      <c r="B1344">
        <v>11475</v>
      </c>
      <c r="C1344" t="s">
        <v>1084</v>
      </c>
      <c r="D1344" t="s">
        <v>27</v>
      </c>
      <c r="E1344" t="s">
        <v>21</v>
      </c>
      <c r="F1344" t="str">
        <f>"00606420"</f>
        <v>00606420</v>
      </c>
      <c r="G1344">
        <v>18.6</v>
      </c>
      <c r="H1344">
        <v>7</v>
      </c>
      <c r="I1344">
        <v>0</v>
      </c>
      <c r="J1344">
        <v>20</v>
      </c>
      <c r="K1344">
        <v>20</v>
      </c>
      <c r="O1344">
        <v>0</v>
      </c>
      <c r="P1344">
        <v>0</v>
      </c>
      <c r="Q1344">
        <v>0</v>
      </c>
      <c r="R1344">
        <v>45.6</v>
      </c>
      <c r="S1344">
        <v>0</v>
      </c>
      <c r="T1344">
        <v>0</v>
      </c>
      <c r="U1344">
        <v>6</v>
      </c>
      <c r="V1344">
        <v>0</v>
      </c>
      <c r="X1344">
        <v>51.6</v>
      </c>
    </row>
    <row r="1345" spans="1:24" ht="15">
      <c r="A1345">
        <v>1338</v>
      </c>
      <c r="B1345">
        <v>41218</v>
      </c>
      <c r="C1345" t="s">
        <v>1085</v>
      </c>
      <c r="D1345" t="s">
        <v>50</v>
      </c>
      <c r="E1345" t="s">
        <v>17</v>
      </c>
      <c r="F1345" t="str">
        <f>"00024327"</f>
        <v>00024327</v>
      </c>
      <c r="G1345">
        <v>15.55</v>
      </c>
      <c r="H1345">
        <v>0</v>
      </c>
      <c r="I1345">
        <v>0</v>
      </c>
      <c r="J1345">
        <v>20</v>
      </c>
      <c r="K1345">
        <v>20</v>
      </c>
      <c r="L1345">
        <v>7</v>
      </c>
      <c r="N1345">
        <v>3</v>
      </c>
      <c r="O1345">
        <v>10</v>
      </c>
      <c r="P1345">
        <v>0</v>
      </c>
      <c r="Q1345">
        <v>0</v>
      </c>
      <c r="R1345">
        <v>45.55</v>
      </c>
      <c r="S1345">
        <v>0</v>
      </c>
      <c r="T1345">
        <v>0</v>
      </c>
      <c r="U1345">
        <v>6</v>
      </c>
      <c r="V1345">
        <v>0</v>
      </c>
      <c r="X1345">
        <v>51.55</v>
      </c>
    </row>
    <row r="1346" spans="1:24" ht="15">
      <c r="A1346">
        <v>1339</v>
      </c>
      <c r="B1346">
        <v>83434</v>
      </c>
      <c r="C1346" t="s">
        <v>1086</v>
      </c>
      <c r="D1346" t="s">
        <v>305</v>
      </c>
      <c r="E1346" t="s">
        <v>519</v>
      </c>
      <c r="F1346" t="str">
        <f>"00166037"</f>
        <v>00166037</v>
      </c>
      <c r="G1346">
        <v>18.53</v>
      </c>
      <c r="H1346">
        <v>0</v>
      </c>
      <c r="I1346">
        <v>0</v>
      </c>
      <c r="J1346">
        <v>20</v>
      </c>
      <c r="K1346">
        <v>20</v>
      </c>
      <c r="N1346">
        <v>3</v>
      </c>
      <c r="O1346">
        <v>3</v>
      </c>
      <c r="P1346">
        <v>4</v>
      </c>
      <c r="Q1346">
        <v>0</v>
      </c>
      <c r="R1346">
        <v>45.53</v>
      </c>
      <c r="S1346">
        <v>0</v>
      </c>
      <c r="T1346">
        <v>0</v>
      </c>
      <c r="U1346">
        <v>6</v>
      </c>
      <c r="V1346">
        <v>0</v>
      </c>
      <c r="X1346">
        <v>51.53</v>
      </c>
    </row>
    <row r="1347" spans="1:24" ht="15">
      <c r="A1347">
        <v>1340</v>
      </c>
      <c r="B1347">
        <v>65506</v>
      </c>
      <c r="C1347" t="s">
        <v>1087</v>
      </c>
      <c r="D1347" t="s">
        <v>442</v>
      </c>
      <c r="E1347" t="s">
        <v>713</v>
      </c>
      <c r="F1347" t="str">
        <f>"00458531"</f>
        <v>00458531</v>
      </c>
      <c r="G1347">
        <v>20.53</v>
      </c>
      <c r="H1347">
        <v>0</v>
      </c>
      <c r="I1347">
        <v>0</v>
      </c>
      <c r="J1347">
        <v>20</v>
      </c>
      <c r="K1347">
        <v>20</v>
      </c>
      <c r="L1347">
        <v>7</v>
      </c>
      <c r="O1347">
        <v>7</v>
      </c>
      <c r="P1347">
        <v>4</v>
      </c>
      <c r="Q1347">
        <v>0</v>
      </c>
      <c r="R1347">
        <v>51.53</v>
      </c>
      <c r="S1347">
        <v>0</v>
      </c>
      <c r="T1347">
        <v>0</v>
      </c>
      <c r="U1347">
        <v>0</v>
      </c>
      <c r="V1347">
        <v>0</v>
      </c>
      <c r="X1347">
        <v>51.53</v>
      </c>
    </row>
    <row r="1348" spans="1:24" ht="15">
      <c r="A1348">
        <v>1341</v>
      </c>
      <c r="B1348">
        <v>106334</v>
      </c>
      <c r="C1348" t="s">
        <v>1091</v>
      </c>
      <c r="D1348" t="s">
        <v>1092</v>
      </c>
      <c r="E1348" t="s">
        <v>273</v>
      </c>
      <c r="F1348" t="str">
        <f>"00022230"</f>
        <v>00022230</v>
      </c>
      <c r="G1348">
        <v>21.5</v>
      </c>
      <c r="H1348">
        <v>0</v>
      </c>
      <c r="I1348">
        <v>0</v>
      </c>
      <c r="J1348">
        <v>20</v>
      </c>
      <c r="K1348">
        <v>20</v>
      </c>
      <c r="N1348">
        <v>6</v>
      </c>
      <c r="O1348">
        <v>6</v>
      </c>
      <c r="P1348">
        <v>4</v>
      </c>
      <c r="Q1348">
        <v>0</v>
      </c>
      <c r="R1348">
        <v>51.5</v>
      </c>
      <c r="S1348">
        <v>0</v>
      </c>
      <c r="T1348">
        <v>0</v>
      </c>
      <c r="U1348">
        <v>0</v>
      </c>
      <c r="V1348">
        <v>0</v>
      </c>
      <c r="X1348">
        <v>51.5</v>
      </c>
    </row>
    <row r="1349" spans="1:24" ht="15">
      <c r="A1349">
        <v>1342</v>
      </c>
      <c r="B1349">
        <v>101908</v>
      </c>
      <c r="C1349" t="s">
        <v>1093</v>
      </c>
      <c r="D1349" t="s">
        <v>17</v>
      </c>
      <c r="E1349" t="s">
        <v>201</v>
      </c>
      <c r="F1349" t="str">
        <f>"00467478"</f>
        <v>00467478</v>
      </c>
      <c r="G1349">
        <v>16.48</v>
      </c>
      <c r="H1349">
        <v>0</v>
      </c>
      <c r="I1349">
        <v>0</v>
      </c>
      <c r="J1349">
        <v>28</v>
      </c>
      <c r="K1349">
        <v>28</v>
      </c>
      <c r="N1349">
        <v>3</v>
      </c>
      <c r="O1349">
        <v>3</v>
      </c>
      <c r="P1349">
        <v>4</v>
      </c>
      <c r="Q1349">
        <v>0</v>
      </c>
      <c r="R1349">
        <v>51.48</v>
      </c>
      <c r="S1349">
        <v>0</v>
      </c>
      <c r="T1349">
        <v>0</v>
      </c>
      <c r="U1349">
        <v>0</v>
      </c>
      <c r="V1349">
        <v>0</v>
      </c>
      <c r="X1349">
        <v>51.48</v>
      </c>
    </row>
    <row r="1350" spans="1:24" ht="15">
      <c r="A1350">
        <v>1343</v>
      </c>
      <c r="B1350">
        <v>33242</v>
      </c>
      <c r="C1350" t="s">
        <v>1094</v>
      </c>
      <c r="D1350" t="s">
        <v>1095</v>
      </c>
      <c r="E1350" t="s">
        <v>575</v>
      </c>
      <c r="F1350" t="str">
        <f>"00618459"</f>
        <v>00618459</v>
      </c>
      <c r="G1350">
        <v>21.43</v>
      </c>
      <c r="H1350">
        <v>0</v>
      </c>
      <c r="I1350">
        <v>0</v>
      </c>
      <c r="J1350">
        <v>20</v>
      </c>
      <c r="K1350">
        <v>20</v>
      </c>
      <c r="N1350">
        <v>6</v>
      </c>
      <c r="O1350">
        <v>6</v>
      </c>
      <c r="P1350">
        <v>4</v>
      </c>
      <c r="Q1350">
        <v>0</v>
      </c>
      <c r="R1350">
        <v>51.43</v>
      </c>
      <c r="S1350">
        <v>0</v>
      </c>
      <c r="T1350">
        <v>0</v>
      </c>
      <c r="U1350">
        <v>0</v>
      </c>
      <c r="V1350">
        <v>0</v>
      </c>
      <c r="X1350">
        <v>51.43</v>
      </c>
    </row>
    <row r="1351" spans="1:24" ht="15">
      <c r="A1351">
        <v>1344</v>
      </c>
      <c r="B1351">
        <v>83276</v>
      </c>
      <c r="C1351" t="s">
        <v>1099</v>
      </c>
      <c r="D1351" t="s">
        <v>772</v>
      </c>
      <c r="E1351" t="s">
        <v>12</v>
      </c>
      <c r="F1351" t="str">
        <f>"00467537"</f>
        <v>00467537</v>
      </c>
      <c r="G1351">
        <v>16.43</v>
      </c>
      <c r="H1351">
        <v>0</v>
      </c>
      <c r="I1351">
        <v>0</v>
      </c>
      <c r="J1351">
        <v>28</v>
      </c>
      <c r="K1351">
        <v>28</v>
      </c>
      <c r="N1351">
        <v>3</v>
      </c>
      <c r="O1351">
        <v>3</v>
      </c>
      <c r="P1351">
        <v>4</v>
      </c>
      <c r="Q1351">
        <v>0</v>
      </c>
      <c r="R1351">
        <v>51.43</v>
      </c>
      <c r="S1351">
        <v>0</v>
      </c>
      <c r="T1351">
        <v>0</v>
      </c>
      <c r="U1351">
        <v>0</v>
      </c>
      <c r="V1351">
        <v>0</v>
      </c>
      <c r="X1351">
        <v>51.43</v>
      </c>
    </row>
    <row r="1352" spans="1:24" ht="15">
      <c r="A1352">
        <v>1345</v>
      </c>
      <c r="B1352">
        <v>17490</v>
      </c>
      <c r="C1352" t="s">
        <v>1100</v>
      </c>
      <c r="D1352" t="s">
        <v>407</v>
      </c>
      <c r="E1352" t="s">
        <v>1101</v>
      </c>
      <c r="F1352" t="str">
        <f>"00145271"</f>
        <v>00145271</v>
      </c>
      <c r="G1352">
        <v>17.4</v>
      </c>
      <c r="H1352">
        <v>0</v>
      </c>
      <c r="I1352">
        <v>0</v>
      </c>
      <c r="J1352">
        <v>20</v>
      </c>
      <c r="K1352">
        <v>20</v>
      </c>
      <c r="L1352">
        <v>7</v>
      </c>
      <c r="N1352">
        <v>3</v>
      </c>
      <c r="O1352">
        <v>10</v>
      </c>
      <c r="P1352">
        <v>4</v>
      </c>
      <c r="Q1352">
        <v>0</v>
      </c>
      <c r="R1352">
        <v>51.4</v>
      </c>
      <c r="S1352">
        <v>0</v>
      </c>
      <c r="T1352">
        <v>0</v>
      </c>
      <c r="U1352">
        <v>0</v>
      </c>
      <c r="V1352">
        <v>0</v>
      </c>
      <c r="X1352">
        <v>51.4</v>
      </c>
    </row>
    <row r="1353" spans="1:24" ht="15">
      <c r="A1353">
        <v>1346</v>
      </c>
      <c r="B1353">
        <v>66661</v>
      </c>
      <c r="C1353" t="s">
        <v>1103</v>
      </c>
      <c r="D1353" t="s">
        <v>30</v>
      </c>
      <c r="E1353" t="s">
        <v>20</v>
      </c>
      <c r="F1353" t="str">
        <f>"201412007427"</f>
        <v>201412007427</v>
      </c>
      <c r="G1353">
        <v>17.3</v>
      </c>
      <c r="H1353">
        <v>0</v>
      </c>
      <c r="I1353">
        <v>0</v>
      </c>
      <c r="J1353">
        <v>20</v>
      </c>
      <c r="K1353">
        <v>20</v>
      </c>
      <c r="L1353">
        <v>7</v>
      </c>
      <c r="N1353">
        <v>3</v>
      </c>
      <c r="O1353">
        <v>10</v>
      </c>
      <c r="P1353">
        <v>4</v>
      </c>
      <c r="Q1353">
        <v>0</v>
      </c>
      <c r="R1353">
        <v>51.3</v>
      </c>
      <c r="S1353">
        <v>0</v>
      </c>
      <c r="T1353">
        <v>0</v>
      </c>
      <c r="U1353">
        <v>0</v>
      </c>
      <c r="V1353">
        <v>0</v>
      </c>
      <c r="X1353">
        <v>51.3</v>
      </c>
    </row>
    <row r="1354" spans="1:24" ht="15">
      <c r="A1354">
        <v>1347</v>
      </c>
      <c r="B1354">
        <v>41620</v>
      </c>
      <c r="C1354" t="s">
        <v>1104</v>
      </c>
      <c r="D1354" t="s">
        <v>124</v>
      </c>
      <c r="E1354" t="s">
        <v>911</v>
      </c>
      <c r="F1354" t="str">
        <f>"00536405"</f>
        <v>00536405</v>
      </c>
      <c r="G1354">
        <v>20.28</v>
      </c>
      <c r="H1354">
        <v>0</v>
      </c>
      <c r="I1354">
        <v>0</v>
      </c>
      <c r="J1354">
        <v>20</v>
      </c>
      <c r="K1354">
        <v>20</v>
      </c>
      <c r="L1354">
        <v>7</v>
      </c>
      <c r="O1354">
        <v>7</v>
      </c>
      <c r="P1354">
        <v>4</v>
      </c>
      <c r="Q1354">
        <v>0</v>
      </c>
      <c r="R1354">
        <v>51.28</v>
      </c>
      <c r="S1354">
        <v>0</v>
      </c>
      <c r="T1354">
        <v>0</v>
      </c>
      <c r="U1354">
        <v>0</v>
      </c>
      <c r="V1354">
        <v>0</v>
      </c>
      <c r="X1354">
        <v>51.28</v>
      </c>
    </row>
    <row r="1355" spans="1:24" ht="15">
      <c r="A1355">
        <v>1348</v>
      </c>
      <c r="B1355">
        <v>112620</v>
      </c>
      <c r="C1355" t="s">
        <v>1105</v>
      </c>
      <c r="D1355" t="s">
        <v>188</v>
      </c>
      <c r="E1355" t="s">
        <v>44</v>
      </c>
      <c r="F1355" t="str">
        <f>"00587500"</f>
        <v>00587500</v>
      </c>
      <c r="G1355">
        <v>17.25</v>
      </c>
      <c r="H1355">
        <v>0</v>
      </c>
      <c r="I1355">
        <v>0</v>
      </c>
      <c r="J1355">
        <v>20</v>
      </c>
      <c r="K1355">
        <v>20</v>
      </c>
      <c r="L1355">
        <v>7</v>
      </c>
      <c r="O1355">
        <v>7</v>
      </c>
      <c r="P1355">
        <v>4</v>
      </c>
      <c r="Q1355">
        <v>0</v>
      </c>
      <c r="R1355">
        <v>48.25</v>
      </c>
      <c r="S1355">
        <v>0</v>
      </c>
      <c r="T1355">
        <v>0</v>
      </c>
      <c r="U1355">
        <v>3</v>
      </c>
      <c r="V1355">
        <v>0</v>
      </c>
      <c r="X1355">
        <v>51.25</v>
      </c>
    </row>
    <row r="1356" spans="1:24" ht="15">
      <c r="A1356">
        <v>1349</v>
      </c>
      <c r="B1356">
        <v>50951</v>
      </c>
      <c r="C1356" t="s">
        <v>1106</v>
      </c>
      <c r="D1356" t="s">
        <v>1107</v>
      </c>
      <c r="E1356" t="s">
        <v>12</v>
      </c>
      <c r="F1356" t="str">
        <f>"00146147"</f>
        <v>00146147</v>
      </c>
      <c r="G1356">
        <v>17.25</v>
      </c>
      <c r="H1356">
        <v>0</v>
      </c>
      <c r="I1356">
        <v>0</v>
      </c>
      <c r="J1356">
        <v>20</v>
      </c>
      <c r="K1356">
        <v>20</v>
      </c>
      <c r="L1356">
        <v>7</v>
      </c>
      <c r="O1356">
        <v>7</v>
      </c>
      <c r="P1356">
        <v>4</v>
      </c>
      <c r="Q1356">
        <v>0</v>
      </c>
      <c r="R1356">
        <v>48.25</v>
      </c>
      <c r="S1356">
        <v>0</v>
      </c>
      <c r="T1356">
        <v>0</v>
      </c>
      <c r="U1356">
        <v>3</v>
      </c>
      <c r="V1356">
        <v>0</v>
      </c>
      <c r="X1356">
        <v>51.25</v>
      </c>
    </row>
    <row r="1357" spans="1:24" ht="15">
      <c r="A1357">
        <v>1350</v>
      </c>
      <c r="B1357">
        <v>28497</v>
      </c>
      <c r="C1357" t="s">
        <v>1110</v>
      </c>
      <c r="D1357" t="s">
        <v>461</v>
      </c>
      <c r="E1357" t="s">
        <v>201</v>
      </c>
      <c r="F1357" t="str">
        <f>"00466055"</f>
        <v>00466055</v>
      </c>
      <c r="G1357">
        <v>17.23</v>
      </c>
      <c r="H1357">
        <v>0</v>
      </c>
      <c r="I1357">
        <v>0</v>
      </c>
      <c r="J1357">
        <v>20</v>
      </c>
      <c r="K1357">
        <v>20</v>
      </c>
      <c r="L1357">
        <v>7</v>
      </c>
      <c r="N1357">
        <v>3</v>
      </c>
      <c r="O1357">
        <v>10</v>
      </c>
      <c r="P1357">
        <v>4</v>
      </c>
      <c r="Q1357">
        <v>0</v>
      </c>
      <c r="R1357">
        <v>51.23</v>
      </c>
      <c r="S1357">
        <v>0</v>
      </c>
      <c r="T1357">
        <v>0</v>
      </c>
      <c r="U1357">
        <v>0</v>
      </c>
      <c r="V1357">
        <v>0</v>
      </c>
      <c r="X1357">
        <v>51.23</v>
      </c>
    </row>
    <row r="1358" spans="1:24" ht="15">
      <c r="A1358">
        <v>1351</v>
      </c>
      <c r="B1358">
        <v>63506</v>
      </c>
      <c r="C1358" t="s">
        <v>1111</v>
      </c>
      <c r="D1358" t="s">
        <v>1112</v>
      </c>
      <c r="E1358" t="s">
        <v>151</v>
      </c>
      <c r="F1358" t="str">
        <f>"00595477"</f>
        <v>00595477</v>
      </c>
      <c r="G1358">
        <v>17.23</v>
      </c>
      <c r="H1358">
        <v>0</v>
      </c>
      <c r="I1358">
        <v>0</v>
      </c>
      <c r="J1358">
        <v>20</v>
      </c>
      <c r="K1358">
        <v>20</v>
      </c>
      <c r="L1358">
        <v>7</v>
      </c>
      <c r="N1358">
        <v>3</v>
      </c>
      <c r="O1358">
        <v>10</v>
      </c>
      <c r="P1358">
        <v>4</v>
      </c>
      <c r="Q1358">
        <v>0</v>
      </c>
      <c r="R1358">
        <v>51.23</v>
      </c>
      <c r="S1358">
        <v>0</v>
      </c>
      <c r="T1358">
        <v>0</v>
      </c>
      <c r="U1358">
        <v>0</v>
      </c>
      <c r="V1358">
        <v>0</v>
      </c>
      <c r="X1358">
        <v>51.23</v>
      </c>
    </row>
    <row r="1359" spans="1:24" ht="15">
      <c r="A1359">
        <v>1352</v>
      </c>
      <c r="B1359">
        <v>78082</v>
      </c>
      <c r="C1359" t="s">
        <v>1114</v>
      </c>
      <c r="D1359" t="s">
        <v>1115</v>
      </c>
      <c r="E1359" t="s">
        <v>30</v>
      </c>
      <c r="F1359" t="str">
        <f>"201504000352"</f>
        <v>201504000352</v>
      </c>
      <c r="G1359">
        <v>18.15</v>
      </c>
      <c r="H1359">
        <v>0</v>
      </c>
      <c r="I1359">
        <v>0</v>
      </c>
      <c r="J1359">
        <v>20</v>
      </c>
      <c r="K1359">
        <v>20</v>
      </c>
      <c r="N1359">
        <v>3</v>
      </c>
      <c r="O1359">
        <v>3</v>
      </c>
      <c r="P1359">
        <v>4</v>
      </c>
      <c r="Q1359">
        <v>0</v>
      </c>
      <c r="R1359">
        <v>45.15</v>
      </c>
      <c r="S1359">
        <v>0</v>
      </c>
      <c r="T1359">
        <v>0</v>
      </c>
      <c r="U1359">
        <v>6</v>
      </c>
      <c r="V1359">
        <v>0</v>
      </c>
      <c r="X1359">
        <v>51.15</v>
      </c>
    </row>
    <row r="1360" spans="1:24" ht="15">
      <c r="A1360">
        <v>1353</v>
      </c>
      <c r="B1360">
        <v>1436</v>
      </c>
      <c r="C1360" t="s">
        <v>1116</v>
      </c>
      <c r="D1360" t="s">
        <v>1117</v>
      </c>
      <c r="E1360" t="s">
        <v>80</v>
      </c>
      <c r="F1360" t="str">
        <f>"00091875"</f>
        <v>00091875</v>
      </c>
      <c r="G1360">
        <v>17.15</v>
      </c>
      <c r="H1360">
        <v>0</v>
      </c>
      <c r="I1360">
        <v>0</v>
      </c>
      <c r="J1360">
        <v>20</v>
      </c>
      <c r="K1360">
        <v>20</v>
      </c>
      <c r="M1360">
        <v>10</v>
      </c>
      <c r="O1360">
        <v>10</v>
      </c>
      <c r="P1360">
        <v>4</v>
      </c>
      <c r="Q1360">
        <v>0</v>
      </c>
      <c r="R1360">
        <v>51.15</v>
      </c>
      <c r="S1360">
        <v>0</v>
      </c>
      <c r="T1360">
        <v>0</v>
      </c>
      <c r="U1360">
        <v>0</v>
      </c>
      <c r="V1360">
        <v>0</v>
      </c>
      <c r="X1360">
        <v>51.15</v>
      </c>
    </row>
    <row r="1361" spans="1:24" ht="15">
      <c r="A1361">
        <v>1354</v>
      </c>
      <c r="B1361">
        <v>47845</v>
      </c>
      <c r="C1361" t="s">
        <v>1120</v>
      </c>
      <c r="D1361" t="s">
        <v>27</v>
      </c>
      <c r="E1361" t="s">
        <v>614</v>
      </c>
      <c r="F1361" t="str">
        <f>"00597700"</f>
        <v>00597700</v>
      </c>
      <c r="G1361">
        <v>18.08</v>
      </c>
      <c r="H1361">
        <v>0</v>
      </c>
      <c r="I1361">
        <v>0</v>
      </c>
      <c r="J1361">
        <v>20</v>
      </c>
      <c r="K1361">
        <v>20</v>
      </c>
      <c r="N1361">
        <v>3</v>
      </c>
      <c r="O1361">
        <v>3</v>
      </c>
      <c r="P1361">
        <v>4</v>
      </c>
      <c r="Q1361">
        <v>0</v>
      </c>
      <c r="R1361">
        <v>45.08</v>
      </c>
      <c r="S1361">
        <v>0</v>
      </c>
      <c r="T1361">
        <v>0</v>
      </c>
      <c r="U1361">
        <v>6</v>
      </c>
      <c r="V1361">
        <v>0</v>
      </c>
      <c r="X1361">
        <v>51.08</v>
      </c>
    </row>
    <row r="1362" spans="1:24" ht="15">
      <c r="A1362">
        <v>1355</v>
      </c>
      <c r="B1362">
        <v>87231</v>
      </c>
      <c r="C1362" t="s">
        <v>1121</v>
      </c>
      <c r="D1362" t="s">
        <v>252</v>
      </c>
      <c r="E1362" t="s">
        <v>1122</v>
      </c>
      <c r="F1362" t="str">
        <f>"201402004303"</f>
        <v>201402004303</v>
      </c>
      <c r="G1362">
        <v>17.08</v>
      </c>
      <c r="H1362">
        <v>0</v>
      </c>
      <c r="I1362">
        <v>0</v>
      </c>
      <c r="J1362">
        <v>20</v>
      </c>
      <c r="K1362">
        <v>20</v>
      </c>
      <c r="L1362">
        <v>7</v>
      </c>
      <c r="O1362">
        <v>7</v>
      </c>
      <c r="P1362">
        <v>4</v>
      </c>
      <c r="Q1362">
        <v>0</v>
      </c>
      <c r="R1362">
        <v>48.08</v>
      </c>
      <c r="S1362">
        <v>0</v>
      </c>
      <c r="T1362">
        <v>0</v>
      </c>
      <c r="U1362">
        <v>3</v>
      </c>
      <c r="V1362">
        <v>0</v>
      </c>
      <c r="X1362">
        <v>51.08</v>
      </c>
    </row>
    <row r="1363" spans="1:24" ht="15">
      <c r="A1363">
        <v>1356</v>
      </c>
      <c r="B1363">
        <v>105918</v>
      </c>
      <c r="C1363" t="s">
        <v>1123</v>
      </c>
      <c r="D1363" t="s">
        <v>75</v>
      </c>
      <c r="E1363" t="s">
        <v>1124</v>
      </c>
      <c r="F1363" t="str">
        <f>"00633586"</f>
        <v>00633586</v>
      </c>
      <c r="G1363">
        <v>17.08</v>
      </c>
      <c r="H1363">
        <v>0</v>
      </c>
      <c r="I1363">
        <v>0</v>
      </c>
      <c r="J1363">
        <v>20</v>
      </c>
      <c r="K1363">
        <v>20</v>
      </c>
      <c r="L1363">
        <v>7</v>
      </c>
      <c r="O1363">
        <v>7</v>
      </c>
      <c r="P1363">
        <v>4</v>
      </c>
      <c r="Q1363">
        <v>0</v>
      </c>
      <c r="R1363">
        <v>48.08</v>
      </c>
      <c r="S1363">
        <v>0</v>
      </c>
      <c r="T1363">
        <v>0</v>
      </c>
      <c r="U1363">
        <v>3</v>
      </c>
      <c r="V1363">
        <v>0</v>
      </c>
      <c r="X1363">
        <v>51.08</v>
      </c>
    </row>
    <row r="1364" spans="1:24" ht="15">
      <c r="A1364">
        <v>1357</v>
      </c>
      <c r="B1364">
        <v>92827</v>
      </c>
      <c r="C1364" t="s">
        <v>1125</v>
      </c>
      <c r="D1364" t="s">
        <v>60</v>
      </c>
      <c r="E1364" t="s">
        <v>30</v>
      </c>
      <c r="F1364" t="str">
        <f>"201412001599"</f>
        <v>201412001599</v>
      </c>
      <c r="G1364">
        <v>17.05</v>
      </c>
      <c r="H1364">
        <v>0</v>
      </c>
      <c r="I1364">
        <v>0</v>
      </c>
      <c r="J1364">
        <v>20</v>
      </c>
      <c r="K1364">
        <v>20</v>
      </c>
      <c r="L1364">
        <v>7</v>
      </c>
      <c r="O1364">
        <v>7</v>
      </c>
      <c r="P1364">
        <v>4</v>
      </c>
      <c r="Q1364">
        <v>0</v>
      </c>
      <c r="R1364">
        <v>48.05</v>
      </c>
      <c r="S1364">
        <v>0</v>
      </c>
      <c r="T1364">
        <v>0</v>
      </c>
      <c r="U1364">
        <v>3</v>
      </c>
      <c r="V1364">
        <v>0</v>
      </c>
      <c r="X1364">
        <v>51.05</v>
      </c>
    </row>
    <row r="1365" spans="1:24" ht="15">
      <c r="A1365">
        <v>1358</v>
      </c>
      <c r="B1365">
        <v>103961</v>
      </c>
      <c r="C1365" t="s">
        <v>1129</v>
      </c>
      <c r="D1365" t="s">
        <v>120</v>
      </c>
      <c r="E1365" t="s">
        <v>17</v>
      </c>
      <c r="F1365" t="str">
        <f>"201109000064"</f>
        <v>201109000064</v>
      </c>
      <c r="G1365">
        <v>17.88</v>
      </c>
      <c r="H1365">
        <v>0</v>
      </c>
      <c r="I1365">
        <v>0</v>
      </c>
      <c r="J1365">
        <v>20</v>
      </c>
      <c r="K1365">
        <v>20</v>
      </c>
      <c r="N1365">
        <v>6</v>
      </c>
      <c r="O1365">
        <v>6</v>
      </c>
      <c r="P1365">
        <v>4</v>
      </c>
      <c r="Q1365">
        <v>0</v>
      </c>
      <c r="R1365">
        <v>47.88</v>
      </c>
      <c r="S1365">
        <v>0</v>
      </c>
      <c r="T1365">
        <v>0</v>
      </c>
      <c r="U1365">
        <v>3</v>
      </c>
      <c r="V1365">
        <v>0</v>
      </c>
      <c r="X1365">
        <v>50.88</v>
      </c>
    </row>
    <row r="1366" spans="1:24" ht="15">
      <c r="A1366">
        <v>1359</v>
      </c>
      <c r="B1366">
        <v>53949</v>
      </c>
      <c r="C1366" t="s">
        <v>1130</v>
      </c>
      <c r="D1366" t="s">
        <v>728</v>
      </c>
      <c r="E1366" t="s">
        <v>70</v>
      </c>
      <c r="F1366" t="str">
        <f>"00359706"</f>
        <v>00359706</v>
      </c>
      <c r="G1366">
        <v>19.8</v>
      </c>
      <c r="H1366">
        <v>0</v>
      </c>
      <c r="I1366">
        <v>0</v>
      </c>
      <c r="J1366">
        <v>20</v>
      </c>
      <c r="K1366">
        <v>20</v>
      </c>
      <c r="L1366">
        <v>7</v>
      </c>
      <c r="O1366">
        <v>7</v>
      </c>
      <c r="P1366">
        <v>4</v>
      </c>
      <c r="Q1366">
        <v>0</v>
      </c>
      <c r="R1366">
        <v>50.8</v>
      </c>
      <c r="S1366">
        <v>0</v>
      </c>
      <c r="T1366">
        <v>0</v>
      </c>
      <c r="U1366">
        <v>0</v>
      </c>
      <c r="V1366">
        <v>0</v>
      </c>
      <c r="X1366">
        <v>50.8</v>
      </c>
    </row>
    <row r="1367" spans="1:24" ht="15">
      <c r="A1367">
        <v>1360</v>
      </c>
      <c r="B1367">
        <v>7015</v>
      </c>
      <c r="C1367" t="s">
        <v>1131</v>
      </c>
      <c r="D1367" t="s">
        <v>46</v>
      </c>
      <c r="E1367" t="s">
        <v>53</v>
      </c>
      <c r="F1367" t="str">
        <f>"200804000617"</f>
        <v>200804000617</v>
      </c>
      <c r="G1367">
        <v>16.8</v>
      </c>
      <c r="H1367">
        <v>0</v>
      </c>
      <c r="I1367">
        <v>0</v>
      </c>
      <c r="J1367">
        <v>20</v>
      </c>
      <c r="K1367">
        <v>20</v>
      </c>
      <c r="L1367">
        <v>7</v>
      </c>
      <c r="N1367">
        <v>3</v>
      </c>
      <c r="O1367">
        <v>10</v>
      </c>
      <c r="P1367">
        <v>4</v>
      </c>
      <c r="Q1367">
        <v>0</v>
      </c>
      <c r="R1367">
        <v>50.8</v>
      </c>
      <c r="S1367">
        <v>0</v>
      </c>
      <c r="T1367">
        <v>0</v>
      </c>
      <c r="U1367">
        <v>0</v>
      </c>
      <c r="V1367">
        <v>0</v>
      </c>
      <c r="X1367">
        <v>50.8</v>
      </c>
    </row>
    <row r="1368" spans="1:24" ht="15">
      <c r="A1368">
        <v>1361</v>
      </c>
      <c r="B1368">
        <v>49492</v>
      </c>
      <c r="C1368" t="s">
        <v>1132</v>
      </c>
      <c r="D1368" t="s">
        <v>442</v>
      </c>
      <c r="E1368" t="s">
        <v>139</v>
      </c>
      <c r="F1368" t="str">
        <f>"00606740"</f>
        <v>00606740</v>
      </c>
      <c r="G1368">
        <v>13.78</v>
      </c>
      <c r="H1368">
        <v>0</v>
      </c>
      <c r="I1368">
        <v>0</v>
      </c>
      <c r="J1368">
        <v>20</v>
      </c>
      <c r="K1368">
        <v>20</v>
      </c>
      <c r="L1368">
        <v>7</v>
      </c>
      <c r="O1368">
        <v>7</v>
      </c>
      <c r="P1368">
        <v>4</v>
      </c>
      <c r="Q1368">
        <v>0</v>
      </c>
      <c r="R1368">
        <v>44.78</v>
      </c>
      <c r="S1368">
        <v>0</v>
      </c>
      <c r="T1368">
        <v>0</v>
      </c>
      <c r="U1368">
        <v>6</v>
      </c>
      <c r="V1368">
        <v>0</v>
      </c>
      <c r="X1368">
        <v>50.78</v>
      </c>
    </row>
    <row r="1369" spans="1:24" ht="15">
      <c r="A1369">
        <v>1362</v>
      </c>
      <c r="B1369">
        <v>81133</v>
      </c>
      <c r="C1369" t="s">
        <v>1134</v>
      </c>
      <c r="D1369" t="s">
        <v>928</v>
      </c>
      <c r="E1369" t="s">
        <v>774</v>
      </c>
      <c r="F1369" t="str">
        <f>"00647917"</f>
        <v>00647917</v>
      </c>
      <c r="G1369">
        <v>19.73</v>
      </c>
      <c r="H1369">
        <v>0</v>
      </c>
      <c r="I1369">
        <v>0</v>
      </c>
      <c r="J1369">
        <v>20</v>
      </c>
      <c r="K1369">
        <v>20</v>
      </c>
      <c r="L1369">
        <v>7</v>
      </c>
      <c r="O1369">
        <v>7</v>
      </c>
      <c r="P1369">
        <v>4</v>
      </c>
      <c r="Q1369">
        <v>0</v>
      </c>
      <c r="R1369">
        <v>50.73</v>
      </c>
      <c r="S1369">
        <v>0</v>
      </c>
      <c r="T1369">
        <v>0</v>
      </c>
      <c r="U1369">
        <v>0</v>
      </c>
      <c r="V1369">
        <v>0</v>
      </c>
      <c r="X1369">
        <v>50.73</v>
      </c>
    </row>
    <row r="1370" spans="1:24" ht="15">
      <c r="A1370">
        <v>1363</v>
      </c>
      <c r="B1370">
        <v>93805</v>
      </c>
      <c r="C1370" t="s">
        <v>1137</v>
      </c>
      <c r="D1370" t="s">
        <v>1138</v>
      </c>
      <c r="E1370" t="s">
        <v>155</v>
      </c>
      <c r="F1370" t="str">
        <f>"00634136"</f>
        <v>00634136</v>
      </c>
      <c r="G1370">
        <v>20.7</v>
      </c>
      <c r="H1370">
        <v>0</v>
      </c>
      <c r="I1370">
        <v>0</v>
      </c>
      <c r="J1370">
        <v>20</v>
      </c>
      <c r="K1370">
        <v>20</v>
      </c>
      <c r="L1370">
        <v>7</v>
      </c>
      <c r="N1370">
        <v>3</v>
      </c>
      <c r="O1370">
        <v>10</v>
      </c>
      <c r="P1370">
        <v>0</v>
      </c>
      <c r="Q1370">
        <v>0</v>
      </c>
      <c r="R1370">
        <v>50.7</v>
      </c>
      <c r="S1370">
        <v>0</v>
      </c>
      <c r="T1370">
        <v>0</v>
      </c>
      <c r="U1370">
        <v>0</v>
      </c>
      <c r="V1370">
        <v>0</v>
      </c>
      <c r="X1370">
        <v>50.7</v>
      </c>
    </row>
    <row r="1371" spans="1:24" ht="15">
      <c r="A1371">
        <v>1364</v>
      </c>
      <c r="B1371">
        <v>43831</v>
      </c>
      <c r="C1371" t="s">
        <v>1140</v>
      </c>
      <c r="D1371" t="s">
        <v>46</v>
      </c>
      <c r="E1371" t="s">
        <v>1141</v>
      </c>
      <c r="F1371" t="str">
        <f>"00201563"</f>
        <v>00201563</v>
      </c>
      <c r="G1371">
        <v>17.58</v>
      </c>
      <c r="H1371">
        <v>0</v>
      </c>
      <c r="I1371">
        <v>0</v>
      </c>
      <c r="J1371">
        <v>20</v>
      </c>
      <c r="K1371">
        <v>20</v>
      </c>
      <c r="N1371">
        <v>3</v>
      </c>
      <c r="O1371">
        <v>3</v>
      </c>
      <c r="P1371">
        <v>4</v>
      </c>
      <c r="Q1371">
        <v>0</v>
      </c>
      <c r="R1371">
        <v>44.58</v>
      </c>
      <c r="S1371">
        <v>0</v>
      </c>
      <c r="T1371">
        <v>0</v>
      </c>
      <c r="U1371">
        <v>6</v>
      </c>
      <c r="V1371">
        <v>0</v>
      </c>
      <c r="X1371">
        <v>50.58</v>
      </c>
    </row>
    <row r="1372" spans="1:24" ht="15">
      <c r="A1372">
        <v>1365</v>
      </c>
      <c r="B1372">
        <v>44311</v>
      </c>
      <c r="C1372" t="s">
        <v>1142</v>
      </c>
      <c r="D1372" t="s">
        <v>1143</v>
      </c>
      <c r="E1372" t="s">
        <v>23</v>
      </c>
      <c r="F1372" t="str">
        <f>"00344244"</f>
        <v>00344244</v>
      </c>
      <c r="G1372">
        <v>17.55</v>
      </c>
      <c r="H1372">
        <v>0</v>
      </c>
      <c r="I1372">
        <v>0</v>
      </c>
      <c r="J1372">
        <v>20</v>
      </c>
      <c r="K1372">
        <v>20</v>
      </c>
      <c r="N1372">
        <v>3</v>
      </c>
      <c r="O1372">
        <v>3</v>
      </c>
      <c r="P1372">
        <v>4</v>
      </c>
      <c r="Q1372">
        <v>0</v>
      </c>
      <c r="R1372">
        <v>44.55</v>
      </c>
      <c r="S1372">
        <v>0</v>
      </c>
      <c r="T1372">
        <v>0</v>
      </c>
      <c r="U1372">
        <v>6</v>
      </c>
      <c r="V1372">
        <v>0</v>
      </c>
      <c r="X1372">
        <v>50.55</v>
      </c>
    </row>
    <row r="1373" spans="1:24" ht="15">
      <c r="A1373">
        <v>1366</v>
      </c>
      <c r="B1373">
        <v>74242</v>
      </c>
      <c r="C1373" t="s">
        <v>1144</v>
      </c>
      <c r="D1373" t="s">
        <v>29</v>
      </c>
      <c r="E1373" t="s">
        <v>27</v>
      </c>
      <c r="F1373" t="str">
        <f>"00626477"</f>
        <v>00626477</v>
      </c>
      <c r="G1373">
        <v>20.55</v>
      </c>
      <c r="H1373">
        <v>0</v>
      </c>
      <c r="I1373">
        <v>0</v>
      </c>
      <c r="J1373">
        <v>20</v>
      </c>
      <c r="K1373">
        <v>20</v>
      </c>
      <c r="N1373">
        <v>6</v>
      </c>
      <c r="O1373">
        <v>6</v>
      </c>
      <c r="P1373">
        <v>4</v>
      </c>
      <c r="Q1373">
        <v>0</v>
      </c>
      <c r="R1373">
        <v>50.55</v>
      </c>
      <c r="S1373">
        <v>0</v>
      </c>
      <c r="T1373">
        <v>0</v>
      </c>
      <c r="U1373">
        <v>0</v>
      </c>
      <c r="V1373">
        <v>0</v>
      </c>
      <c r="X1373">
        <v>50.55</v>
      </c>
    </row>
    <row r="1374" spans="1:24" ht="15">
      <c r="A1374">
        <v>1367</v>
      </c>
      <c r="B1374">
        <v>114374</v>
      </c>
      <c r="C1374" t="s">
        <v>1145</v>
      </c>
      <c r="D1374" t="s">
        <v>1146</v>
      </c>
      <c r="E1374" t="s">
        <v>23</v>
      </c>
      <c r="F1374" t="str">
        <f>"00636861"</f>
        <v>00636861</v>
      </c>
      <c r="G1374">
        <v>19.55</v>
      </c>
      <c r="H1374">
        <v>0</v>
      </c>
      <c r="I1374">
        <v>0</v>
      </c>
      <c r="J1374">
        <v>20</v>
      </c>
      <c r="K1374">
        <v>20</v>
      </c>
      <c r="L1374">
        <v>7</v>
      </c>
      <c r="O1374">
        <v>7</v>
      </c>
      <c r="P1374">
        <v>4</v>
      </c>
      <c r="Q1374">
        <v>0</v>
      </c>
      <c r="R1374">
        <v>50.55</v>
      </c>
      <c r="S1374">
        <v>0</v>
      </c>
      <c r="T1374">
        <v>0</v>
      </c>
      <c r="U1374">
        <v>0</v>
      </c>
      <c r="V1374">
        <v>0</v>
      </c>
      <c r="X1374">
        <v>50.55</v>
      </c>
    </row>
    <row r="1375" spans="1:24" ht="15">
      <c r="A1375">
        <v>1368</v>
      </c>
      <c r="B1375">
        <v>9645</v>
      </c>
      <c r="C1375" t="s">
        <v>1147</v>
      </c>
      <c r="D1375" t="s">
        <v>30</v>
      </c>
      <c r="E1375" t="s">
        <v>95</v>
      </c>
      <c r="F1375" t="str">
        <f>"00603075"</f>
        <v>00603075</v>
      </c>
      <c r="G1375">
        <v>17.5</v>
      </c>
      <c r="H1375">
        <v>0</v>
      </c>
      <c r="I1375">
        <v>0</v>
      </c>
      <c r="J1375">
        <v>20</v>
      </c>
      <c r="K1375">
        <v>20</v>
      </c>
      <c r="N1375">
        <v>3</v>
      </c>
      <c r="O1375">
        <v>3</v>
      </c>
      <c r="P1375">
        <v>4</v>
      </c>
      <c r="Q1375">
        <v>0</v>
      </c>
      <c r="R1375">
        <v>44.5</v>
      </c>
      <c r="S1375">
        <v>0</v>
      </c>
      <c r="T1375">
        <v>0</v>
      </c>
      <c r="U1375">
        <v>6</v>
      </c>
      <c r="V1375">
        <v>0</v>
      </c>
      <c r="X1375">
        <v>50.5</v>
      </c>
    </row>
    <row r="1376" spans="1:24" ht="15">
      <c r="A1376">
        <v>1369</v>
      </c>
      <c r="B1376">
        <v>113336</v>
      </c>
      <c r="C1376" t="s">
        <v>1148</v>
      </c>
      <c r="D1376" t="s">
        <v>37</v>
      </c>
      <c r="E1376" t="s">
        <v>113</v>
      </c>
      <c r="F1376" t="str">
        <f>"00359697"</f>
        <v>00359697</v>
      </c>
      <c r="G1376">
        <v>19.48</v>
      </c>
      <c r="H1376">
        <v>0</v>
      </c>
      <c r="I1376">
        <v>0</v>
      </c>
      <c r="J1376">
        <v>20</v>
      </c>
      <c r="K1376">
        <v>20</v>
      </c>
      <c r="L1376">
        <v>7</v>
      </c>
      <c r="O1376">
        <v>7</v>
      </c>
      <c r="P1376">
        <v>4</v>
      </c>
      <c r="Q1376">
        <v>0</v>
      </c>
      <c r="R1376">
        <v>50.48</v>
      </c>
      <c r="S1376">
        <v>0</v>
      </c>
      <c r="T1376">
        <v>0</v>
      </c>
      <c r="U1376">
        <v>0</v>
      </c>
      <c r="V1376">
        <v>0</v>
      </c>
      <c r="X1376">
        <v>50.48</v>
      </c>
    </row>
    <row r="1377" spans="1:24" ht="15">
      <c r="A1377">
        <v>1370</v>
      </c>
      <c r="B1377">
        <v>95065</v>
      </c>
      <c r="C1377" t="s">
        <v>1149</v>
      </c>
      <c r="D1377" t="s">
        <v>153</v>
      </c>
      <c r="E1377" t="s">
        <v>1150</v>
      </c>
      <c r="F1377" t="str">
        <f>"00492522"</f>
        <v>00492522</v>
      </c>
      <c r="G1377">
        <v>19.48</v>
      </c>
      <c r="H1377">
        <v>0</v>
      </c>
      <c r="I1377">
        <v>0</v>
      </c>
      <c r="J1377">
        <v>20</v>
      </c>
      <c r="K1377">
        <v>20</v>
      </c>
      <c r="L1377">
        <v>7</v>
      </c>
      <c r="O1377">
        <v>7</v>
      </c>
      <c r="P1377">
        <v>4</v>
      </c>
      <c r="Q1377">
        <v>0</v>
      </c>
      <c r="R1377">
        <v>50.48</v>
      </c>
      <c r="S1377">
        <v>0</v>
      </c>
      <c r="T1377">
        <v>0</v>
      </c>
      <c r="U1377">
        <v>0</v>
      </c>
      <c r="V1377">
        <v>0</v>
      </c>
      <c r="X1377">
        <v>50.48</v>
      </c>
    </row>
    <row r="1378" spans="1:24" ht="15">
      <c r="A1378">
        <v>1371</v>
      </c>
      <c r="B1378">
        <v>115543</v>
      </c>
      <c r="C1378" t="s">
        <v>1152</v>
      </c>
      <c r="D1378" t="s">
        <v>91</v>
      </c>
      <c r="E1378" t="s">
        <v>124</v>
      </c>
      <c r="F1378" t="str">
        <f>"00648998"</f>
        <v>00648998</v>
      </c>
      <c r="G1378">
        <v>16.4</v>
      </c>
      <c r="H1378">
        <v>0</v>
      </c>
      <c r="I1378">
        <v>0</v>
      </c>
      <c r="J1378">
        <v>20</v>
      </c>
      <c r="K1378">
        <v>20</v>
      </c>
      <c r="L1378">
        <v>7</v>
      </c>
      <c r="N1378">
        <v>3</v>
      </c>
      <c r="O1378">
        <v>10</v>
      </c>
      <c r="P1378">
        <v>4</v>
      </c>
      <c r="Q1378">
        <v>0</v>
      </c>
      <c r="R1378">
        <v>50.4</v>
      </c>
      <c r="S1378">
        <v>0</v>
      </c>
      <c r="T1378">
        <v>0</v>
      </c>
      <c r="U1378">
        <v>0</v>
      </c>
      <c r="V1378">
        <v>0</v>
      </c>
      <c r="X1378">
        <v>50.4</v>
      </c>
    </row>
    <row r="1379" spans="1:24" ht="15">
      <c r="A1379">
        <v>1372</v>
      </c>
      <c r="B1379">
        <v>102674</v>
      </c>
      <c r="C1379" t="s">
        <v>87</v>
      </c>
      <c r="D1379" t="s">
        <v>1153</v>
      </c>
      <c r="E1379" t="s">
        <v>60</v>
      </c>
      <c r="F1379" t="str">
        <f>"00652074"</f>
        <v>00652074</v>
      </c>
      <c r="G1379">
        <v>19.38</v>
      </c>
      <c r="H1379">
        <v>0</v>
      </c>
      <c r="I1379">
        <v>0</v>
      </c>
      <c r="J1379">
        <v>20</v>
      </c>
      <c r="K1379">
        <v>20</v>
      </c>
      <c r="L1379">
        <v>7</v>
      </c>
      <c r="O1379">
        <v>7</v>
      </c>
      <c r="P1379">
        <v>4</v>
      </c>
      <c r="Q1379">
        <v>0</v>
      </c>
      <c r="R1379">
        <v>50.38</v>
      </c>
      <c r="S1379">
        <v>0</v>
      </c>
      <c r="T1379">
        <v>0</v>
      </c>
      <c r="U1379">
        <v>0</v>
      </c>
      <c r="V1379">
        <v>0</v>
      </c>
      <c r="X1379">
        <v>50.38</v>
      </c>
    </row>
    <row r="1380" spans="1:24" ht="15">
      <c r="A1380">
        <v>1373</v>
      </c>
      <c r="B1380">
        <v>112145</v>
      </c>
      <c r="C1380" t="s">
        <v>1154</v>
      </c>
      <c r="D1380" t="s">
        <v>1155</v>
      </c>
      <c r="E1380" t="s">
        <v>17</v>
      </c>
      <c r="F1380" t="str">
        <f>"00640353"</f>
        <v>00640353</v>
      </c>
      <c r="G1380">
        <v>18.35</v>
      </c>
      <c r="H1380">
        <v>0</v>
      </c>
      <c r="I1380">
        <v>0</v>
      </c>
      <c r="J1380">
        <v>20</v>
      </c>
      <c r="K1380">
        <v>20</v>
      </c>
      <c r="M1380">
        <v>5</v>
      </c>
      <c r="N1380">
        <v>3</v>
      </c>
      <c r="O1380">
        <v>8</v>
      </c>
      <c r="P1380">
        <v>4</v>
      </c>
      <c r="Q1380">
        <v>0</v>
      </c>
      <c r="R1380">
        <v>50.35</v>
      </c>
      <c r="S1380">
        <v>0</v>
      </c>
      <c r="T1380">
        <v>0</v>
      </c>
      <c r="U1380">
        <v>0</v>
      </c>
      <c r="V1380">
        <v>0</v>
      </c>
      <c r="X1380">
        <v>50.35</v>
      </c>
    </row>
    <row r="1381" spans="1:24" ht="15">
      <c r="A1381">
        <v>1374</v>
      </c>
      <c r="B1381">
        <v>80376</v>
      </c>
      <c r="C1381" t="s">
        <v>1156</v>
      </c>
      <c r="D1381" t="s">
        <v>29</v>
      </c>
      <c r="E1381" t="s">
        <v>109</v>
      </c>
      <c r="F1381" t="str">
        <f>"201411002384"</f>
        <v>201411002384</v>
      </c>
      <c r="G1381">
        <v>15.28</v>
      </c>
      <c r="H1381">
        <v>0</v>
      </c>
      <c r="I1381">
        <v>0</v>
      </c>
      <c r="J1381">
        <v>20</v>
      </c>
      <c r="K1381">
        <v>20</v>
      </c>
      <c r="M1381">
        <v>5</v>
      </c>
      <c r="O1381">
        <v>5</v>
      </c>
      <c r="P1381">
        <v>4</v>
      </c>
      <c r="Q1381">
        <v>0</v>
      </c>
      <c r="R1381">
        <v>44.28</v>
      </c>
      <c r="S1381">
        <v>0</v>
      </c>
      <c r="T1381">
        <v>0</v>
      </c>
      <c r="U1381">
        <v>6</v>
      </c>
      <c r="V1381">
        <v>0</v>
      </c>
      <c r="X1381">
        <v>50.28</v>
      </c>
    </row>
    <row r="1382" spans="1:24" ht="15">
      <c r="A1382">
        <v>1375</v>
      </c>
      <c r="B1382">
        <v>103197</v>
      </c>
      <c r="C1382" t="s">
        <v>1157</v>
      </c>
      <c r="D1382" t="s">
        <v>12</v>
      </c>
      <c r="E1382" t="s">
        <v>53</v>
      </c>
      <c r="F1382" t="str">
        <f>"00273785"</f>
        <v>00273785</v>
      </c>
      <c r="G1382">
        <v>17.25</v>
      </c>
      <c r="H1382">
        <v>0</v>
      </c>
      <c r="I1382">
        <v>0</v>
      </c>
      <c r="J1382">
        <v>20</v>
      </c>
      <c r="K1382">
        <v>20</v>
      </c>
      <c r="N1382">
        <v>3</v>
      </c>
      <c r="O1382">
        <v>3</v>
      </c>
      <c r="P1382">
        <v>4</v>
      </c>
      <c r="Q1382">
        <v>0</v>
      </c>
      <c r="R1382">
        <v>44.25</v>
      </c>
      <c r="S1382">
        <v>0</v>
      </c>
      <c r="T1382">
        <v>0</v>
      </c>
      <c r="U1382">
        <v>6</v>
      </c>
      <c r="V1382">
        <v>0</v>
      </c>
      <c r="X1382">
        <v>50.25</v>
      </c>
    </row>
    <row r="1383" spans="1:24" ht="15">
      <c r="A1383">
        <v>1376</v>
      </c>
      <c r="B1383">
        <v>107573</v>
      </c>
      <c r="C1383" t="s">
        <v>1158</v>
      </c>
      <c r="D1383" t="s">
        <v>37</v>
      </c>
      <c r="E1383" t="s">
        <v>83</v>
      </c>
      <c r="F1383" t="str">
        <f>"201002000387"</f>
        <v>201002000387</v>
      </c>
      <c r="G1383">
        <v>19.25</v>
      </c>
      <c r="H1383">
        <v>0</v>
      </c>
      <c r="I1383">
        <v>0</v>
      </c>
      <c r="J1383">
        <v>20</v>
      </c>
      <c r="K1383">
        <v>20</v>
      </c>
      <c r="L1383">
        <v>7</v>
      </c>
      <c r="O1383">
        <v>7</v>
      </c>
      <c r="P1383">
        <v>4</v>
      </c>
      <c r="Q1383">
        <v>0</v>
      </c>
      <c r="R1383">
        <v>50.25</v>
      </c>
      <c r="S1383">
        <v>0</v>
      </c>
      <c r="T1383">
        <v>0</v>
      </c>
      <c r="U1383">
        <v>0</v>
      </c>
      <c r="V1383">
        <v>0</v>
      </c>
      <c r="X1383">
        <v>50.25</v>
      </c>
    </row>
    <row r="1384" spans="1:24" ht="15">
      <c r="A1384">
        <v>1377</v>
      </c>
      <c r="B1384">
        <v>101111</v>
      </c>
      <c r="C1384" t="s">
        <v>1159</v>
      </c>
      <c r="D1384" t="s">
        <v>349</v>
      </c>
      <c r="E1384" t="s">
        <v>27</v>
      </c>
      <c r="F1384" t="str">
        <f>"00459321"</f>
        <v>00459321</v>
      </c>
      <c r="G1384">
        <v>21.15</v>
      </c>
      <c r="H1384">
        <v>0</v>
      </c>
      <c r="I1384">
        <v>0</v>
      </c>
      <c r="J1384">
        <v>20</v>
      </c>
      <c r="K1384">
        <v>20</v>
      </c>
      <c r="M1384">
        <v>5</v>
      </c>
      <c r="O1384">
        <v>5</v>
      </c>
      <c r="P1384">
        <v>4</v>
      </c>
      <c r="Q1384">
        <v>0</v>
      </c>
      <c r="R1384">
        <v>50.15</v>
      </c>
      <c r="S1384">
        <v>0</v>
      </c>
      <c r="T1384">
        <v>0</v>
      </c>
      <c r="U1384">
        <v>0</v>
      </c>
      <c r="V1384">
        <v>0</v>
      </c>
      <c r="X1384">
        <v>50.15</v>
      </c>
    </row>
    <row r="1385" spans="1:24" ht="15">
      <c r="A1385">
        <v>1378</v>
      </c>
      <c r="B1385">
        <v>64205</v>
      </c>
      <c r="C1385" t="s">
        <v>1161</v>
      </c>
      <c r="D1385" t="s">
        <v>173</v>
      </c>
      <c r="E1385" t="s">
        <v>1141</v>
      </c>
      <c r="F1385" t="str">
        <f>"00194707"</f>
        <v>00194707</v>
      </c>
      <c r="G1385">
        <v>16.15</v>
      </c>
      <c r="H1385">
        <v>0</v>
      </c>
      <c r="I1385">
        <v>0</v>
      </c>
      <c r="J1385">
        <v>20</v>
      </c>
      <c r="K1385">
        <v>20</v>
      </c>
      <c r="L1385">
        <v>7</v>
      </c>
      <c r="N1385">
        <v>3</v>
      </c>
      <c r="O1385">
        <v>10</v>
      </c>
      <c r="P1385">
        <v>4</v>
      </c>
      <c r="Q1385">
        <v>0</v>
      </c>
      <c r="R1385">
        <v>50.15</v>
      </c>
      <c r="S1385">
        <v>0</v>
      </c>
      <c r="T1385">
        <v>0</v>
      </c>
      <c r="U1385">
        <v>0</v>
      </c>
      <c r="V1385">
        <v>0</v>
      </c>
      <c r="X1385">
        <v>50.15</v>
      </c>
    </row>
    <row r="1386" spans="1:24" ht="15">
      <c r="A1386">
        <v>1379</v>
      </c>
      <c r="B1386">
        <v>103852</v>
      </c>
      <c r="C1386" t="s">
        <v>1164</v>
      </c>
      <c r="D1386" t="s">
        <v>29</v>
      </c>
      <c r="E1386" t="s">
        <v>120</v>
      </c>
      <c r="F1386" t="str">
        <f>"201411000832"</f>
        <v>201411000832</v>
      </c>
      <c r="G1386">
        <v>19.08</v>
      </c>
      <c r="H1386">
        <v>0</v>
      </c>
      <c r="I1386">
        <v>0</v>
      </c>
      <c r="J1386">
        <v>20</v>
      </c>
      <c r="K1386">
        <v>20</v>
      </c>
      <c r="L1386">
        <v>7</v>
      </c>
      <c r="O1386">
        <v>7</v>
      </c>
      <c r="P1386">
        <v>4</v>
      </c>
      <c r="Q1386">
        <v>0</v>
      </c>
      <c r="R1386">
        <v>50.08</v>
      </c>
      <c r="S1386">
        <v>0</v>
      </c>
      <c r="T1386">
        <v>0</v>
      </c>
      <c r="U1386">
        <v>0</v>
      </c>
      <c r="V1386">
        <v>0</v>
      </c>
      <c r="X1386">
        <v>50.08</v>
      </c>
    </row>
    <row r="1387" spans="1:24" ht="15">
      <c r="A1387">
        <v>1380</v>
      </c>
      <c r="B1387">
        <v>101955</v>
      </c>
      <c r="C1387" t="s">
        <v>1165</v>
      </c>
      <c r="D1387" t="s">
        <v>333</v>
      </c>
      <c r="E1387" t="s">
        <v>12</v>
      </c>
      <c r="F1387" t="str">
        <f>"00632185"</f>
        <v>00632185</v>
      </c>
      <c r="G1387">
        <v>20</v>
      </c>
      <c r="H1387">
        <v>0</v>
      </c>
      <c r="I1387">
        <v>0</v>
      </c>
      <c r="J1387">
        <v>20</v>
      </c>
      <c r="K1387">
        <v>20</v>
      </c>
      <c r="L1387">
        <v>7</v>
      </c>
      <c r="N1387">
        <v>3</v>
      </c>
      <c r="O1387">
        <v>10</v>
      </c>
      <c r="P1387">
        <v>0</v>
      </c>
      <c r="Q1387">
        <v>0</v>
      </c>
      <c r="R1387">
        <v>50</v>
      </c>
      <c r="S1387">
        <v>0</v>
      </c>
      <c r="T1387">
        <v>0</v>
      </c>
      <c r="U1387">
        <v>0</v>
      </c>
      <c r="V1387">
        <v>0</v>
      </c>
      <c r="X1387">
        <v>50</v>
      </c>
    </row>
    <row r="1388" spans="1:24" ht="15">
      <c r="A1388">
        <v>1381</v>
      </c>
      <c r="B1388">
        <v>109996</v>
      </c>
      <c r="C1388" t="s">
        <v>1166</v>
      </c>
      <c r="D1388" t="s">
        <v>29</v>
      </c>
      <c r="E1388" t="s">
        <v>113</v>
      </c>
      <c r="F1388" t="str">
        <f>"201406017429"</f>
        <v>201406017429</v>
      </c>
      <c r="G1388">
        <v>16</v>
      </c>
      <c r="H1388">
        <v>0</v>
      </c>
      <c r="I1388">
        <v>0</v>
      </c>
      <c r="J1388">
        <v>20</v>
      </c>
      <c r="K1388">
        <v>20</v>
      </c>
      <c r="L1388">
        <v>7</v>
      </c>
      <c r="N1388">
        <v>3</v>
      </c>
      <c r="O1388">
        <v>10</v>
      </c>
      <c r="P1388">
        <v>4</v>
      </c>
      <c r="Q1388">
        <v>0</v>
      </c>
      <c r="R1388">
        <v>50</v>
      </c>
      <c r="S1388">
        <v>0</v>
      </c>
      <c r="T1388">
        <v>0</v>
      </c>
      <c r="U1388">
        <v>0</v>
      </c>
      <c r="V1388">
        <v>0</v>
      </c>
      <c r="X1388">
        <v>50</v>
      </c>
    </row>
    <row r="1389" spans="1:24" ht="15">
      <c r="A1389">
        <v>1382</v>
      </c>
      <c r="B1389">
        <v>92381</v>
      </c>
      <c r="C1389" t="s">
        <v>1167</v>
      </c>
      <c r="D1389" t="s">
        <v>75</v>
      </c>
      <c r="E1389" t="s">
        <v>27</v>
      </c>
      <c r="F1389" t="str">
        <f>"201412007172"</f>
        <v>201412007172</v>
      </c>
      <c r="G1389">
        <v>16.95</v>
      </c>
      <c r="H1389">
        <v>0</v>
      </c>
      <c r="I1389">
        <v>0</v>
      </c>
      <c r="J1389">
        <v>20</v>
      </c>
      <c r="K1389">
        <v>20</v>
      </c>
      <c r="N1389">
        <v>3</v>
      </c>
      <c r="O1389">
        <v>3</v>
      </c>
      <c r="P1389">
        <v>4</v>
      </c>
      <c r="Q1389">
        <v>0</v>
      </c>
      <c r="R1389">
        <v>43.95</v>
      </c>
      <c r="S1389">
        <v>0</v>
      </c>
      <c r="T1389">
        <v>0</v>
      </c>
      <c r="U1389">
        <v>6</v>
      </c>
      <c r="V1389">
        <v>0</v>
      </c>
      <c r="X1389">
        <v>49.95</v>
      </c>
    </row>
    <row r="1390" spans="1:24" ht="15">
      <c r="A1390">
        <v>1383</v>
      </c>
      <c r="B1390">
        <v>17591</v>
      </c>
      <c r="C1390" t="s">
        <v>1168</v>
      </c>
      <c r="D1390" t="s">
        <v>1169</v>
      </c>
      <c r="E1390" t="s">
        <v>27</v>
      </c>
      <c r="F1390" t="str">
        <f>"00456107"</f>
        <v>00456107</v>
      </c>
      <c r="G1390">
        <v>19.95</v>
      </c>
      <c r="H1390">
        <v>0</v>
      </c>
      <c r="I1390">
        <v>0</v>
      </c>
      <c r="J1390">
        <v>20</v>
      </c>
      <c r="K1390">
        <v>20</v>
      </c>
      <c r="N1390">
        <v>6</v>
      </c>
      <c r="O1390">
        <v>6</v>
      </c>
      <c r="P1390">
        <v>4</v>
      </c>
      <c r="Q1390">
        <v>0</v>
      </c>
      <c r="R1390">
        <v>49.95</v>
      </c>
      <c r="S1390">
        <v>0</v>
      </c>
      <c r="T1390">
        <v>0</v>
      </c>
      <c r="U1390">
        <v>0</v>
      </c>
      <c r="V1390">
        <v>0</v>
      </c>
      <c r="X1390">
        <v>49.95</v>
      </c>
    </row>
    <row r="1391" spans="1:24" ht="15">
      <c r="A1391">
        <v>1384</v>
      </c>
      <c r="B1391">
        <v>75989</v>
      </c>
      <c r="C1391" t="s">
        <v>1170</v>
      </c>
      <c r="D1391" t="s">
        <v>75</v>
      </c>
      <c r="E1391" t="s">
        <v>12</v>
      </c>
      <c r="F1391" t="str">
        <f>"00648064"</f>
        <v>00648064</v>
      </c>
      <c r="G1391">
        <v>16.9</v>
      </c>
      <c r="H1391">
        <v>0</v>
      </c>
      <c r="I1391">
        <v>0</v>
      </c>
      <c r="J1391">
        <v>20</v>
      </c>
      <c r="K1391">
        <v>20</v>
      </c>
      <c r="N1391">
        <v>6</v>
      </c>
      <c r="O1391">
        <v>6</v>
      </c>
      <c r="P1391">
        <v>4</v>
      </c>
      <c r="Q1391">
        <v>0</v>
      </c>
      <c r="R1391">
        <v>46.9</v>
      </c>
      <c r="S1391">
        <v>0</v>
      </c>
      <c r="T1391">
        <v>0</v>
      </c>
      <c r="U1391">
        <v>3</v>
      </c>
      <c r="V1391">
        <v>0</v>
      </c>
      <c r="X1391">
        <v>49.9</v>
      </c>
    </row>
    <row r="1392" spans="1:24" ht="15">
      <c r="A1392">
        <v>1385</v>
      </c>
      <c r="B1392">
        <v>9985</v>
      </c>
      <c r="C1392" t="s">
        <v>1173</v>
      </c>
      <c r="D1392" t="s">
        <v>1174</v>
      </c>
      <c r="E1392" t="s">
        <v>76</v>
      </c>
      <c r="F1392" t="str">
        <f>"00123055"</f>
        <v>00123055</v>
      </c>
      <c r="G1392">
        <v>17.83</v>
      </c>
      <c r="H1392">
        <v>0</v>
      </c>
      <c r="I1392">
        <v>0</v>
      </c>
      <c r="J1392">
        <v>20</v>
      </c>
      <c r="K1392">
        <v>20</v>
      </c>
      <c r="M1392">
        <v>5</v>
      </c>
      <c r="N1392">
        <v>3</v>
      </c>
      <c r="O1392">
        <v>8</v>
      </c>
      <c r="P1392">
        <v>4</v>
      </c>
      <c r="Q1392">
        <v>0</v>
      </c>
      <c r="R1392">
        <v>49.83</v>
      </c>
      <c r="S1392">
        <v>0</v>
      </c>
      <c r="T1392">
        <v>0</v>
      </c>
      <c r="U1392">
        <v>0</v>
      </c>
      <c r="V1392">
        <v>0</v>
      </c>
      <c r="X1392">
        <v>49.83</v>
      </c>
    </row>
    <row r="1393" spans="1:24" ht="15">
      <c r="A1393">
        <v>1386</v>
      </c>
      <c r="B1393">
        <v>97166</v>
      </c>
      <c r="C1393" t="s">
        <v>1176</v>
      </c>
      <c r="D1393" t="s">
        <v>236</v>
      </c>
      <c r="E1393" t="s">
        <v>124</v>
      </c>
      <c r="F1393" t="str">
        <f>"00637854"</f>
        <v>00637854</v>
      </c>
      <c r="G1393">
        <v>14.75</v>
      </c>
      <c r="H1393">
        <v>0</v>
      </c>
      <c r="I1393">
        <v>0</v>
      </c>
      <c r="J1393">
        <v>20</v>
      </c>
      <c r="K1393">
        <v>20</v>
      </c>
      <c r="M1393">
        <v>5</v>
      </c>
      <c r="O1393">
        <v>5</v>
      </c>
      <c r="P1393">
        <v>4</v>
      </c>
      <c r="Q1393">
        <v>0</v>
      </c>
      <c r="R1393">
        <v>43.75</v>
      </c>
      <c r="S1393">
        <v>0</v>
      </c>
      <c r="T1393">
        <v>0</v>
      </c>
      <c r="U1393">
        <v>6</v>
      </c>
      <c r="V1393">
        <v>0</v>
      </c>
      <c r="X1393">
        <v>49.75</v>
      </c>
    </row>
    <row r="1394" spans="1:24" ht="15">
      <c r="A1394">
        <v>1387</v>
      </c>
      <c r="B1394">
        <v>62354</v>
      </c>
      <c r="C1394" t="s">
        <v>1177</v>
      </c>
      <c r="D1394" t="s">
        <v>21</v>
      </c>
      <c r="E1394" t="s">
        <v>139</v>
      </c>
      <c r="F1394" t="str">
        <f>"00624002"</f>
        <v>00624002</v>
      </c>
      <c r="G1394">
        <v>15.75</v>
      </c>
      <c r="H1394">
        <v>7</v>
      </c>
      <c r="I1394">
        <v>0</v>
      </c>
      <c r="J1394">
        <v>20</v>
      </c>
      <c r="K1394">
        <v>20</v>
      </c>
      <c r="N1394">
        <v>3</v>
      </c>
      <c r="O1394">
        <v>3</v>
      </c>
      <c r="P1394">
        <v>4</v>
      </c>
      <c r="Q1394">
        <v>0</v>
      </c>
      <c r="R1394">
        <v>49.75</v>
      </c>
      <c r="S1394">
        <v>0</v>
      </c>
      <c r="T1394">
        <v>0</v>
      </c>
      <c r="U1394">
        <v>0</v>
      </c>
      <c r="V1394">
        <v>0</v>
      </c>
      <c r="X1394">
        <v>49.75</v>
      </c>
    </row>
    <row r="1395" spans="1:24" ht="15">
      <c r="A1395">
        <v>1388</v>
      </c>
      <c r="B1395">
        <v>84822</v>
      </c>
      <c r="C1395" t="s">
        <v>1178</v>
      </c>
      <c r="D1395" t="s">
        <v>122</v>
      </c>
      <c r="E1395" t="s">
        <v>30</v>
      </c>
      <c r="F1395" t="str">
        <f>"00640448"</f>
        <v>00640448</v>
      </c>
      <c r="G1395">
        <v>22.73</v>
      </c>
      <c r="H1395">
        <v>0</v>
      </c>
      <c r="I1395">
        <v>0</v>
      </c>
      <c r="J1395">
        <v>20</v>
      </c>
      <c r="K1395">
        <v>20</v>
      </c>
      <c r="L1395">
        <v>7</v>
      </c>
      <c r="O1395">
        <v>7</v>
      </c>
      <c r="P1395">
        <v>0</v>
      </c>
      <c r="Q1395">
        <v>0</v>
      </c>
      <c r="R1395">
        <v>49.73</v>
      </c>
      <c r="S1395">
        <v>0</v>
      </c>
      <c r="T1395">
        <v>0</v>
      </c>
      <c r="U1395">
        <v>0</v>
      </c>
      <c r="V1395">
        <v>0</v>
      </c>
      <c r="X1395">
        <v>49.73</v>
      </c>
    </row>
    <row r="1396" spans="1:24" ht="15">
      <c r="A1396">
        <v>1389</v>
      </c>
      <c r="B1396">
        <v>29642</v>
      </c>
      <c r="C1396" t="s">
        <v>1184</v>
      </c>
      <c r="D1396" t="s">
        <v>53</v>
      </c>
      <c r="E1396" t="s">
        <v>91</v>
      </c>
      <c r="F1396" t="str">
        <f>"00020136"</f>
        <v>00020136</v>
      </c>
      <c r="G1396">
        <v>16.6</v>
      </c>
      <c r="H1396">
        <v>0</v>
      </c>
      <c r="I1396">
        <v>0</v>
      </c>
      <c r="J1396">
        <v>20</v>
      </c>
      <c r="K1396">
        <v>20</v>
      </c>
      <c r="N1396">
        <v>3</v>
      </c>
      <c r="O1396">
        <v>3</v>
      </c>
      <c r="P1396">
        <v>4</v>
      </c>
      <c r="Q1396">
        <v>0</v>
      </c>
      <c r="R1396">
        <v>43.6</v>
      </c>
      <c r="S1396">
        <v>0</v>
      </c>
      <c r="T1396">
        <v>0</v>
      </c>
      <c r="U1396">
        <v>6</v>
      </c>
      <c r="V1396">
        <v>0</v>
      </c>
      <c r="X1396">
        <v>49.6</v>
      </c>
    </row>
    <row r="1397" spans="1:24" ht="15">
      <c r="A1397">
        <v>1390</v>
      </c>
      <c r="B1397">
        <v>1518</v>
      </c>
      <c r="C1397" t="s">
        <v>1185</v>
      </c>
      <c r="D1397" t="s">
        <v>29</v>
      </c>
      <c r="E1397" t="s">
        <v>106</v>
      </c>
      <c r="F1397" t="str">
        <f>"201504000211"</f>
        <v>201504000211</v>
      </c>
      <c r="G1397">
        <v>20.6</v>
      </c>
      <c r="H1397">
        <v>0</v>
      </c>
      <c r="I1397">
        <v>0</v>
      </c>
      <c r="J1397">
        <v>20</v>
      </c>
      <c r="K1397">
        <v>20</v>
      </c>
      <c r="M1397">
        <v>5</v>
      </c>
      <c r="O1397">
        <v>5</v>
      </c>
      <c r="P1397">
        <v>4</v>
      </c>
      <c r="Q1397">
        <v>0</v>
      </c>
      <c r="R1397">
        <v>49.6</v>
      </c>
      <c r="S1397">
        <v>0</v>
      </c>
      <c r="T1397">
        <v>0</v>
      </c>
      <c r="U1397">
        <v>0</v>
      </c>
      <c r="V1397">
        <v>0</v>
      </c>
      <c r="X1397">
        <v>49.6</v>
      </c>
    </row>
    <row r="1398" spans="1:24" ht="15">
      <c r="A1398">
        <v>1391</v>
      </c>
      <c r="B1398">
        <v>39813</v>
      </c>
      <c r="C1398" t="s">
        <v>1186</v>
      </c>
      <c r="D1398" t="s">
        <v>375</v>
      </c>
      <c r="E1398" t="s">
        <v>23</v>
      </c>
      <c r="F1398" t="str">
        <f>"00141404"</f>
        <v>00141404</v>
      </c>
      <c r="G1398">
        <v>17.53</v>
      </c>
      <c r="H1398">
        <v>0</v>
      </c>
      <c r="I1398">
        <v>0</v>
      </c>
      <c r="J1398">
        <v>20</v>
      </c>
      <c r="K1398">
        <v>20</v>
      </c>
      <c r="M1398">
        <v>5</v>
      </c>
      <c r="O1398">
        <v>5</v>
      </c>
      <c r="P1398">
        <v>4</v>
      </c>
      <c r="Q1398">
        <v>0</v>
      </c>
      <c r="R1398">
        <v>46.53</v>
      </c>
      <c r="S1398">
        <v>0</v>
      </c>
      <c r="T1398">
        <v>0</v>
      </c>
      <c r="U1398">
        <v>3</v>
      </c>
      <c r="V1398">
        <v>0</v>
      </c>
      <c r="X1398">
        <v>49.53</v>
      </c>
    </row>
    <row r="1399" spans="1:24" ht="15">
      <c r="A1399">
        <v>1392</v>
      </c>
      <c r="B1399">
        <v>111332</v>
      </c>
      <c r="C1399" t="s">
        <v>1191</v>
      </c>
      <c r="D1399" t="s">
        <v>27</v>
      </c>
      <c r="E1399" t="s">
        <v>23</v>
      </c>
      <c r="F1399" t="str">
        <f>"00008865"</f>
        <v>00008865</v>
      </c>
      <c r="G1399">
        <v>15.48</v>
      </c>
      <c r="H1399">
        <v>0</v>
      </c>
      <c r="I1399">
        <v>0</v>
      </c>
      <c r="J1399">
        <v>20</v>
      </c>
      <c r="K1399">
        <v>20</v>
      </c>
      <c r="L1399">
        <v>7</v>
      </c>
      <c r="O1399">
        <v>7</v>
      </c>
      <c r="P1399">
        <v>4</v>
      </c>
      <c r="Q1399">
        <v>0</v>
      </c>
      <c r="R1399">
        <v>46.48</v>
      </c>
      <c r="S1399">
        <v>0</v>
      </c>
      <c r="T1399">
        <v>0</v>
      </c>
      <c r="U1399">
        <v>3</v>
      </c>
      <c r="V1399">
        <v>0</v>
      </c>
      <c r="X1399">
        <v>49.48</v>
      </c>
    </row>
    <row r="1400" spans="1:24" ht="15">
      <c r="A1400">
        <v>1393</v>
      </c>
      <c r="B1400">
        <v>73717</v>
      </c>
      <c r="C1400" t="s">
        <v>1192</v>
      </c>
      <c r="D1400" t="s">
        <v>442</v>
      </c>
      <c r="E1400" t="s">
        <v>21</v>
      </c>
      <c r="F1400" t="str">
        <f>"00513154"</f>
        <v>00513154</v>
      </c>
      <c r="G1400">
        <v>18.48</v>
      </c>
      <c r="H1400">
        <v>0</v>
      </c>
      <c r="I1400">
        <v>0</v>
      </c>
      <c r="J1400">
        <v>20</v>
      </c>
      <c r="K1400">
        <v>20</v>
      </c>
      <c r="L1400">
        <v>7</v>
      </c>
      <c r="O1400">
        <v>7</v>
      </c>
      <c r="P1400">
        <v>4</v>
      </c>
      <c r="Q1400">
        <v>0</v>
      </c>
      <c r="R1400">
        <v>49.48</v>
      </c>
      <c r="S1400">
        <v>0</v>
      </c>
      <c r="T1400">
        <v>0</v>
      </c>
      <c r="U1400">
        <v>0</v>
      </c>
      <c r="V1400">
        <v>0</v>
      </c>
      <c r="X1400">
        <v>49.48</v>
      </c>
    </row>
    <row r="1401" spans="1:24" ht="15">
      <c r="A1401">
        <v>1394</v>
      </c>
      <c r="B1401">
        <v>47332</v>
      </c>
      <c r="C1401" t="s">
        <v>1193</v>
      </c>
      <c r="D1401" t="s">
        <v>106</v>
      </c>
      <c r="E1401" t="s">
        <v>12</v>
      </c>
      <c r="F1401" t="str">
        <f>"00620997"</f>
        <v>00620997</v>
      </c>
      <c r="G1401">
        <v>18.43</v>
      </c>
      <c r="H1401">
        <v>0</v>
      </c>
      <c r="I1401">
        <v>0</v>
      </c>
      <c r="J1401">
        <v>20</v>
      </c>
      <c r="K1401">
        <v>20</v>
      </c>
      <c r="L1401">
        <v>7</v>
      </c>
      <c r="O1401">
        <v>7</v>
      </c>
      <c r="P1401">
        <v>4</v>
      </c>
      <c r="Q1401">
        <v>0</v>
      </c>
      <c r="R1401">
        <v>49.43</v>
      </c>
      <c r="S1401">
        <v>0</v>
      </c>
      <c r="T1401">
        <v>0</v>
      </c>
      <c r="U1401">
        <v>0</v>
      </c>
      <c r="V1401">
        <v>0</v>
      </c>
      <c r="X1401">
        <v>49.43</v>
      </c>
    </row>
    <row r="1402" spans="1:24" ht="15">
      <c r="A1402">
        <v>1395</v>
      </c>
      <c r="B1402">
        <v>72994</v>
      </c>
      <c r="C1402" t="s">
        <v>1194</v>
      </c>
      <c r="D1402" t="s">
        <v>1195</v>
      </c>
      <c r="E1402" t="s">
        <v>124</v>
      </c>
      <c r="F1402" t="str">
        <f>"201512004800"</f>
        <v>201512004800</v>
      </c>
      <c r="G1402">
        <v>18.43</v>
      </c>
      <c r="H1402">
        <v>0</v>
      </c>
      <c r="I1402">
        <v>0</v>
      </c>
      <c r="J1402">
        <v>20</v>
      </c>
      <c r="K1402">
        <v>20</v>
      </c>
      <c r="L1402">
        <v>7</v>
      </c>
      <c r="O1402">
        <v>7</v>
      </c>
      <c r="P1402">
        <v>4</v>
      </c>
      <c r="Q1402">
        <v>0</v>
      </c>
      <c r="R1402">
        <v>49.43</v>
      </c>
      <c r="S1402">
        <v>0</v>
      </c>
      <c r="T1402">
        <v>0</v>
      </c>
      <c r="U1402">
        <v>0</v>
      </c>
      <c r="V1402">
        <v>0</v>
      </c>
      <c r="X1402">
        <v>49.43</v>
      </c>
    </row>
    <row r="1403" spans="1:24" ht="15">
      <c r="A1403">
        <v>1396</v>
      </c>
      <c r="B1403">
        <v>66671</v>
      </c>
      <c r="C1403" t="s">
        <v>994</v>
      </c>
      <c r="D1403" t="s">
        <v>814</v>
      </c>
      <c r="E1403" t="s">
        <v>20</v>
      </c>
      <c r="F1403" t="str">
        <f>"00618392"</f>
        <v>00618392</v>
      </c>
      <c r="G1403">
        <v>22.38</v>
      </c>
      <c r="H1403">
        <v>0</v>
      </c>
      <c r="I1403">
        <v>0</v>
      </c>
      <c r="J1403">
        <v>20</v>
      </c>
      <c r="K1403">
        <v>20</v>
      </c>
      <c r="N1403">
        <v>3</v>
      </c>
      <c r="O1403">
        <v>3</v>
      </c>
      <c r="P1403">
        <v>4</v>
      </c>
      <c r="Q1403">
        <v>0</v>
      </c>
      <c r="R1403">
        <v>49.38</v>
      </c>
      <c r="S1403">
        <v>0</v>
      </c>
      <c r="T1403">
        <v>0</v>
      </c>
      <c r="U1403">
        <v>0</v>
      </c>
      <c r="V1403">
        <v>0</v>
      </c>
      <c r="X1403">
        <v>49.38</v>
      </c>
    </row>
    <row r="1404" spans="1:24" ht="15">
      <c r="A1404">
        <v>1397</v>
      </c>
      <c r="B1404">
        <v>58376</v>
      </c>
      <c r="C1404" t="s">
        <v>1196</v>
      </c>
      <c r="D1404" t="s">
        <v>252</v>
      </c>
      <c r="E1404" t="s">
        <v>83</v>
      </c>
      <c r="F1404" t="str">
        <f>"200908000082"</f>
        <v>200908000082</v>
      </c>
      <c r="G1404">
        <v>15.33</v>
      </c>
      <c r="H1404">
        <v>0</v>
      </c>
      <c r="I1404">
        <v>0</v>
      </c>
      <c r="J1404">
        <v>20</v>
      </c>
      <c r="K1404">
        <v>20</v>
      </c>
      <c r="L1404">
        <v>7</v>
      </c>
      <c r="O1404">
        <v>7</v>
      </c>
      <c r="P1404">
        <v>4</v>
      </c>
      <c r="Q1404">
        <v>0</v>
      </c>
      <c r="R1404">
        <v>46.33</v>
      </c>
      <c r="S1404">
        <v>0</v>
      </c>
      <c r="T1404">
        <v>0</v>
      </c>
      <c r="U1404">
        <v>3</v>
      </c>
      <c r="V1404">
        <v>0</v>
      </c>
      <c r="X1404">
        <v>49.33</v>
      </c>
    </row>
    <row r="1405" spans="1:24" ht="15">
      <c r="A1405">
        <v>1398</v>
      </c>
      <c r="B1405">
        <v>26130</v>
      </c>
      <c r="C1405" t="s">
        <v>1013</v>
      </c>
      <c r="D1405" t="s">
        <v>442</v>
      </c>
      <c r="E1405" t="s">
        <v>1197</v>
      </c>
      <c r="F1405" t="str">
        <f>"00610878"</f>
        <v>00610878</v>
      </c>
      <c r="G1405">
        <v>22.33</v>
      </c>
      <c r="H1405">
        <v>0</v>
      </c>
      <c r="I1405">
        <v>0</v>
      </c>
      <c r="J1405">
        <v>20</v>
      </c>
      <c r="K1405">
        <v>20</v>
      </c>
      <c r="N1405">
        <v>3</v>
      </c>
      <c r="O1405">
        <v>3</v>
      </c>
      <c r="P1405">
        <v>4</v>
      </c>
      <c r="Q1405">
        <v>0</v>
      </c>
      <c r="R1405">
        <v>49.33</v>
      </c>
      <c r="S1405">
        <v>0</v>
      </c>
      <c r="T1405">
        <v>0</v>
      </c>
      <c r="U1405">
        <v>0</v>
      </c>
      <c r="V1405">
        <v>0</v>
      </c>
      <c r="X1405">
        <v>49.33</v>
      </c>
    </row>
    <row r="1406" spans="1:24" ht="15">
      <c r="A1406">
        <v>1399</v>
      </c>
      <c r="B1406">
        <v>47693</v>
      </c>
      <c r="C1406" t="s">
        <v>1198</v>
      </c>
      <c r="D1406" t="s">
        <v>428</v>
      </c>
      <c r="E1406" t="s">
        <v>17</v>
      </c>
      <c r="F1406" t="str">
        <f>"00616424"</f>
        <v>00616424</v>
      </c>
      <c r="G1406">
        <v>20.33</v>
      </c>
      <c r="H1406">
        <v>0</v>
      </c>
      <c r="I1406">
        <v>0</v>
      </c>
      <c r="J1406">
        <v>20</v>
      </c>
      <c r="K1406">
        <v>20</v>
      </c>
      <c r="M1406">
        <v>5</v>
      </c>
      <c r="O1406">
        <v>5</v>
      </c>
      <c r="P1406">
        <v>4</v>
      </c>
      <c r="Q1406">
        <v>0</v>
      </c>
      <c r="R1406">
        <v>49.33</v>
      </c>
      <c r="S1406">
        <v>0</v>
      </c>
      <c r="T1406">
        <v>0</v>
      </c>
      <c r="U1406">
        <v>0</v>
      </c>
      <c r="V1406">
        <v>0</v>
      </c>
      <c r="X1406">
        <v>49.33</v>
      </c>
    </row>
    <row r="1407" spans="1:24" ht="15">
      <c r="A1407">
        <v>1400</v>
      </c>
      <c r="B1407">
        <v>84206</v>
      </c>
      <c r="C1407" t="s">
        <v>1201</v>
      </c>
      <c r="D1407" t="s">
        <v>662</v>
      </c>
      <c r="E1407" t="s">
        <v>155</v>
      </c>
      <c r="F1407" t="str">
        <f>"00206605"</f>
        <v>00206605</v>
      </c>
      <c r="G1407">
        <v>18.28</v>
      </c>
      <c r="H1407">
        <v>0</v>
      </c>
      <c r="I1407">
        <v>0</v>
      </c>
      <c r="J1407">
        <v>20</v>
      </c>
      <c r="K1407">
        <v>20</v>
      </c>
      <c r="L1407">
        <v>7</v>
      </c>
      <c r="O1407">
        <v>7</v>
      </c>
      <c r="P1407">
        <v>4</v>
      </c>
      <c r="Q1407">
        <v>0</v>
      </c>
      <c r="R1407">
        <v>49.28</v>
      </c>
      <c r="S1407">
        <v>0</v>
      </c>
      <c r="T1407">
        <v>0</v>
      </c>
      <c r="U1407">
        <v>0</v>
      </c>
      <c r="V1407">
        <v>0</v>
      </c>
      <c r="X1407">
        <v>49.28</v>
      </c>
    </row>
    <row r="1408" spans="1:24" ht="15">
      <c r="A1408">
        <v>1401</v>
      </c>
      <c r="B1408">
        <v>109951</v>
      </c>
      <c r="C1408" t="s">
        <v>1202</v>
      </c>
      <c r="D1408" t="s">
        <v>17</v>
      </c>
      <c r="E1408" t="s">
        <v>12</v>
      </c>
      <c r="F1408" t="str">
        <f>"201504001958"</f>
        <v>201504001958</v>
      </c>
      <c r="G1408">
        <v>18.25</v>
      </c>
      <c r="H1408">
        <v>0</v>
      </c>
      <c r="I1408">
        <v>0</v>
      </c>
      <c r="J1408">
        <v>20</v>
      </c>
      <c r="K1408">
        <v>20</v>
      </c>
      <c r="L1408">
        <v>7</v>
      </c>
      <c r="O1408">
        <v>7</v>
      </c>
      <c r="P1408">
        <v>4</v>
      </c>
      <c r="Q1408">
        <v>0</v>
      </c>
      <c r="R1408">
        <v>49.25</v>
      </c>
      <c r="S1408">
        <v>0</v>
      </c>
      <c r="T1408">
        <v>0</v>
      </c>
      <c r="U1408">
        <v>0</v>
      </c>
      <c r="V1408">
        <v>0</v>
      </c>
      <c r="X1408">
        <v>49.25</v>
      </c>
    </row>
    <row r="1409" spans="1:24" ht="15">
      <c r="A1409">
        <v>1402</v>
      </c>
      <c r="B1409">
        <v>38561</v>
      </c>
      <c r="C1409" t="s">
        <v>1204</v>
      </c>
      <c r="D1409" t="s">
        <v>27</v>
      </c>
      <c r="E1409" t="s">
        <v>21</v>
      </c>
      <c r="F1409" t="str">
        <f>"00599651"</f>
        <v>00599651</v>
      </c>
      <c r="G1409">
        <v>19.23</v>
      </c>
      <c r="H1409">
        <v>0</v>
      </c>
      <c r="I1409">
        <v>0</v>
      </c>
      <c r="J1409">
        <v>20</v>
      </c>
      <c r="K1409">
        <v>20</v>
      </c>
      <c r="N1409">
        <v>3</v>
      </c>
      <c r="O1409">
        <v>3</v>
      </c>
      <c r="P1409">
        <v>4</v>
      </c>
      <c r="Q1409">
        <v>0</v>
      </c>
      <c r="R1409">
        <v>46.23</v>
      </c>
      <c r="S1409">
        <v>0</v>
      </c>
      <c r="T1409">
        <v>0</v>
      </c>
      <c r="U1409">
        <v>3</v>
      </c>
      <c r="V1409">
        <v>0</v>
      </c>
      <c r="X1409">
        <v>49.23</v>
      </c>
    </row>
    <row r="1410" spans="1:24" ht="15">
      <c r="A1410">
        <v>1403</v>
      </c>
      <c r="B1410">
        <v>99482</v>
      </c>
      <c r="C1410" t="s">
        <v>1192</v>
      </c>
      <c r="D1410" t="s">
        <v>196</v>
      </c>
      <c r="E1410" t="s">
        <v>21</v>
      </c>
      <c r="F1410" t="str">
        <f>"00461639"</f>
        <v>00461639</v>
      </c>
      <c r="G1410">
        <v>18.2</v>
      </c>
      <c r="H1410">
        <v>0</v>
      </c>
      <c r="I1410">
        <v>0</v>
      </c>
      <c r="J1410">
        <v>20</v>
      </c>
      <c r="K1410">
        <v>20</v>
      </c>
      <c r="L1410">
        <v>7</v>
      </c>
      <c r="O1410">
        <v>7</v>
      </c>
      <c r="P1410">
        <v>4</v>
      </c>
      <c r="Q1410">
        <v>0</v>
      </c>
      <c r="R1410">
        <v>49.2</v>
      </c>
      <c r="S1410">
        <v>0</v>
      </c>
      <c r="T1410">
        <v>0</v>
      </c>
      <c r="U1410">
        <v>0</v>
      </c>
      <c r="V1410">
        <v>0</v>
      </c>
      <c r="X1410">
        <v>49.2</v>
      </c>
    </row>
    <row r="1411" spans="1:24" ht="15">
      <c r="A1411">
        <v>1404</v>
      </c>
      <c r="B1411">
        <v>82181</v>
      </c>
      <c r="C1411" t="s">
        <v>1207</v>
      </c>
      <c r="D1411" t="s">
        <v>296</v>
      </c>
      <c r="E1411" t="s">
        <v>1181</v>
      </c>
      <c r="F1411" t="str">
        <f>"201504004272"</f>
        <v>201504004272</v>
      </c>
      <c r="G1411">
        <v>17.2</v>
      </c>
      <c r="H1411">
        <v>0</v>
      </c>
      <c r="I1411">
        <v>0</v>
      </c>
      <c r="J1411">
        <v>20</v>
      </c>
      <c r="K1411">
        <v>20</v>
      </c>
      <c r="M1411">
        <v>5</v>
      </c>
      <c r="N1411">
        <v>3</v>
      </c>
      <c r="O1411">
        <v>8</v>
      </c>
      <c r="P1411">
        <v>4</v>
      </c>
      <c r="Q1411">
        <v>0</v>
      </c>
      <c r="R1411">
        <v>49.2</v>
      </c>
      <c r="S1411">
        <v>0</v>
      </c>
      <c r="T1411">
        <v>0</v>
      </c>
      <c r="U1411">
        <v>0</v>
      </c>
      <c r="V1411">
        <v>0</v>
      </c>
      <c r="X1411">
        <v>49.2</v>
      </c>
    </row>
    <row r="1412" spans="1:24" ht="15">
      <c r="A1412">
        <v>1405</v>
      </c>
      <c r="B1412">
        <v>54096</v>
      </c>
      <c r="C1412" t="s">
        <v>1210</v>
      </c>
      <c r="D1412" t="s">
        <v>124</v>
      </c>
      <c r="E1412" t="s">
        <v>1211</v>
      </c>
      <c r="F1412" t="str">
        <f>"00328950"</f>
        <v>00328950</v>
      </c>
      <c r="G1412">
        <v>17.13</v>
      </c>
      <c r="H1412">
        <v>0</v>
      </c>
      <c r="I1412">
        <v>0</v>
      </c>
      <c r="J1412">
        <v>0</v>
      </c>
      <c r="K1412">
        <v>0</v>
      </c>
      <c r="O1412">
        <v>0</v>
      </c>
      <c r="P1412">
        <v>0</v>
      </c>
      <c r="Q1412">
        <v>0</v>
      </c>
      <c r="R1412">
        <v>17.13</v>
      </c>
      <c r="S1412">
        <v>0</v>
      </c>
      <c r="T1412">
        <v>0</v>
      </c>
      <c r="U1412">
        <v>0</v>
      </c>
      <c r="V1412">
        <v>32</v>
      </c>
      <c r="X1412">
        <v>49.13</v>
      </c>
    </row>
    <row r="1413" spans="1:24" ht="15">
      <c r="A1413">
        <v>1406</v>
      </c>
      <c r="B1413">
        <v>104910</v>
      </c>
      <c r="C1413" t="s">
        <v>1214</v>
      </c>
      <c r="D1413" t="s">
        <v>12</v>
      </c>
      <c r="E1413" t="s">
        <v>124</v>
      </c>
      <c r="F1413" t="str">
        <f>"200812000802"</f>
        <v>200812000802</v>
      </c>
      <c r="G1413">
        <v>15.28</v>
      </c>
      <c r="H1413">
        <v>0</v>
      </c>
      <c r="I1413">
        <v>0</v>
      </c>
      <c r="J1413">
        <v>0</v>
      </c>
      <c r="K1413">
        <v>0</v>
      </c>
      <c r="N1413">
        <v>3</v>
      </c>
      <c r="O1413">
        <v>3</v>
      </c>
      <c r="P1413">
        <v>4</v>
      </c>
      <c r="Q1413">
        <v>0</v>
      </c>
      <c r="R1413">
        <v>22.28</v>
      </c>
      <c r="S1413">
        <v>0</v>
      </c>
      <c r="T1413">
        <v>0</v>
      </c>
      <c r="U1413">
        <v>0</v>
      </c>
      <c r="V1413">
        <v>26.8</v>
      </c>
      <c r="X1413">
        <v>49.08</v>
      </c>
    </row>
    <row r="1414" spans="1:24" ht="15">
      <c r="A1414">
        <v>1407</v>
      </c>
      <c r="B1414">
        <v>94877</v>
      </c>
      <c r="C1414" t="s">
        <v>1215</v>
      </c>
      <c r="D1414" t="s">
        <v>201</v>
      </c>
      <c r="E1414" t="s">
        <v>21</v>
      </c>
      <c r="F1414" t="str">
        <f>"00633588"</f>
        <v>00633588</v>
      </c>
      <c r="G1414">
        <v>19.08</v>
      </c>
      <c r="H1414">
        <v>0</v>
      </c>
      <c r="I1414">
        <v>0</v>
      </c>
      <c r="J1414">
        <v>20</v>
      </c>
      <c r="K1414">
        <v>20</v>
      </c>
      <c r="L1414">
        <v>7</v>
      </c>
      <c r="N1414">
        <v>3</v>
      </c>
      <c r="O1414">
        <v>10</v>
      </c>
      <c r="P1414">
        <v>0</v>
      </c>
      <c r="Q1414">
        <v>0</v>
      </c>
      <c r="R1414">
        <v>49.08</v>
      </c>
      <c r="S1414">
        <v>0</v>
      </c>
      <c r="T1414">
        <v>0</v>
      </c>
      <c r="U1414">
        <v>0</v>
      </c>
      <c r="V1414">
        <v>0</v>
      </c>
      <c r="X1414">
        <v>49.08</v>
      </c>
    </row>
    <row r="1415" spans="1:24" ht="15">
      <c r="A1415">
        <v>1408</v>
      </c>
      <c r="B1415">
        <v>98548</v>
      </c>
      <c r="C1415" t="s">
        <v>1216</v>
      </c>
      <c r="D1415" t="s">
        <v>153</v>
      </c>
      <c r="E1415" t="s">
        <v>23</v>
      </c>
      <c r="F1415" t="str">
        <f>"00633480"</f>
        <v>00633480</v>
      </c>
      <c r="G1415">
        <v>18.08</v>
      </c>
      <c r="H1415">
        <v>0</v>
      </c>
      <c r="I1415">
        <v>0</v>
      </c>
      <c r="J1415">
        <v>20</v>
      </c>
      <c r="K1415">
        <v>20</v>
      </c>
      <c r="L1415">
        <v>7</v>
      </c>
      <c r="O1415">
        <v>7</v>
      </c>
      <c r="P1415">
        <v>4</v>
      </c>
      <c r="Q1415">
        <v>0</v>
      </c>
      <c r="R1415">
        <v>49.08</v>
      </c>
      <c r="S1415">
        <v>0</v>
      </c>
      <c r="T1415">
        <v>0</v>
      </c>
      <c r="U1415">
        <v>0</v>
      </c>
      <c r="V1415">
        <v>0</v>
      </c>
      <c r="X1415">
        <v>49.08</v>
      </c>
    </row>
    <row r="1416" spans="1:24" ht="15">
      <c r="A1416">
        <v>1409</v>
      </c>
      <c r="B1416">
        <v>47815</v>
      </c>
      <c r="C1416" t="s">
        <v>1217</v>
      </c>
      <c r="D1416" t="s">
        <v>29</v>
      </c>
      <c r="E1416" t="s">
        <v>23</v>
      </c>
      <c r="F1416" t="str">
        <f>"00625065"</f>
        <v>00625065</v>
      </c>
      <c r="G1416">
        <v>20.05</v>
      </c>
      <c r="H1416">
        <v>0</v>
      </c>
      <c r="I1416">
        <v>0</v>
      </c>
      <c r="J1416">
        <v>20</v>
      </c>
      <c r="K1416">
        <v>20</v>
      </c>
      <c r="M1416">
        <v>5</v>
      </c>
      <c r="O1416">
        <v>5</v>
      </c>
      <c r="P1416">
        <v>4</v>
      </c>
      <c r="Q1416">
        <v>0</v>
      </c>
      <c r="R1416">
        <v>49.05</v>
      </c>
      <c r="S1416">
        <v>0</v>
      </c>
      <c r="T1416">
        <v>0</v>
      </c>
      <c r="U1416">
        <v>0</v>
      </c>
      <c r="V1416">
        <v>0</v>
      </c>
      <c r="X1416">
        <v>49.05</v>
      </c>
    </row>
    <row r="1417" spans="1:24" ht="15">
      <c r="A1417">
        <v>1410</v>
      </c>
      <c r="B1417">
        <v>57852</v>
      </c>
      <c r="C1417" t="s">
        <v>1218</v>
      </c>
      <c r="D1417" t="s">
        <v>683</v>
      </c>
      <c r="E1417" t="s">
        <v>27</v>
      </c>
      <c r="F1417" t="str">
        <f>"00387402"</f>
        <v>00387402</v>
      </c>
      <c r="G1417">
        <v>15</v>
      </c>
      <c r="H1417">
        <v>7</v>
      </c>
      <c r="I1417">
        <v>0</v>
      </c>
      <c r="J1417">
        <v>0</v>
      </c>
      <c r="K1417">
        <v>0</v>
      </c>
      <c r="L1417">
        <v>7</v>
      </c>
      <c r="O1417">
        <v>7</v>
      </c>
      <c r="P1417">
        <v>4</v>
      </c>
      <c r="Q1417">
        <v>0</v>
      </c>
      <c r="R1417">
        <v>33</v>
      </c>
      <c r="S1417">
        <v>13</v>
      </c>
      <c r="T1417">
        <v>13</v>
      </c>
      <c r="U1417">
        <v>3</v>
      </c>
      <c r="V1417">
        <v>0</v>
      </c>
      <c r="X1417">
        <v>49</v>
      </c>
    </row>
    <row r="1418" spans="1:24" ht="15">
      <c r="A1418">
        <v>1411</v>
      </c>
      <c r="B1418">
        <v>30174</v>
      </c>
      <c r="C1418" t="s">
        <v>1220</v>
      </c>
      <c r="D1418" t="s">
        <v>873</v>
      </c>
      <c r="E1418" t="s">
        <v>120</v>
      </c>
      <c r="F1418" t="str">
        <f>"00626814"</f>
        <v>00626814</v>
      </c>
      <c r="G1418">
        <v>18.98</v>
      </c>
      <c r="H1418">
        <v>0</v>
      </c>
      <c r="I1418">
        <v>0</v>
      </c>
      <c r="J1418">
        <v>20</v>
      </c>
      <c r="K1418">
        <v>20</v>
      </c>
      <c r="N1418">
        <v>3</v>
      </c>
      <c r="O1418">
        <v>3</v>
      </c>
      <c r="P1418">
        <v>4</v>
      </c>
      <c r="Q1418">
        <v>0</v>
      </c>
      <c r="R1418">
        <v>45.98</v>
      </c>
      <c r="S1418">
        <v>0</v>
      </c>
      <c r="T1418">
        <v>0</v>
      </c>
      <c r="U1418">
        <v>3</v>
      </c>
      <c r="V1418">
        <v>0</v>
      </c>
      <c r="X1418">
        <v>48.98</v>
      </c>
    </row>
    <row r="1419" spans="1:24" ht="15">
      <c r="A1419">
        <v>1412</v>
      </c>
      <c r="B1419">
        <v>94476</v>
      </c>
      <c r="C1419" t="s">
        <v>977</v>
      </c>
      <c r="D1419" t="s">
        <v>41</v>
      </c>
      <c r="E1419" t="s">
        <v>207</v>
      </c>
      <c r="F1419" t="str">
        <f>"00639139"</f>
        <v>00639139</v>
      </c>
      <c r="G1419">
        <v>17.93</v>
      </c>
      <c r="H1419">
        <v>0</v>
      </c>
      <c r="I1419">
        <v>0</v>
      </c>
      <c r="J1419">
        <v>20</v>
      </c>
      <c r="K1419">
        <v>20</v>
      </c>
      <c r="L1419">
        <v>7</v>
      </c>
      <c r="O1419">
        <v>7</v>
      </c>
      <c r="P1419">
        <v>4</v>
      </c>
      <c r="Q1419">
        <v>0</v>
      </c>
      <c r="R1419">
        <v>48.93</v>
      </c>
      <c r="S1419">
        <v>0</v>
      </c>
      <c r="T1419">
        <v>0</v>
      </c>
      <c r="U1419">
        <v>0</v>
      </c>
      <c r="V1419">
        <v>0</v>
      </c>
      <c r="X1419">
        <v>48.93</v>
      </c>
    </row>
    <row r="1420" spans="1:24" ht="15">
      <c r="A1420">
        <v>1413</v>
      </c>
      <c r="B1420">
        <v>112106</v>
      </c>
      <c r="C1420" t="s">
        <v>1222</v>
      </c>
      <c r="D1420" t="s">
        <v>1223</v>
      </c>
      <c r="E1420" t="s">
        <v>21</v>
      </c>
      <c r="F1420" t="str">
        <f>"00641469"</f>
        <v>00641469</v>
      </c>
      <c r="G1420">
        <v>21.88</v>
      </c>
      <c r="H1420">
        <v>0</v>
      </c>
      <c r="I1420">
        <v>0</v>
      </c>
      <c r="J1420">
        <v>20</v>
      </c>
      <c r="K1420">
        <v>20</v>
      </c>
      <c r="L1420">
        <v>7</v>
      </c>
      <c r="O1420">
        <v>7</v>
      </c>
      <c r="P1420">
        <v>0</v>
      </c>
      <c r="Q1420">
        <v>0</v>
      </c>
      <c r="R1420">
        <v>48.88</v>
      </c>
      <c r="S1420">
        <v>0</v>
      </c>
      <c r="T1420">
        <v>0</v>
      </c>
      <c r="U1420">
        <v>0</v>
      </c>
      <c r="V1420">
        <v>0</v>
      </c>
      <c r="X1420">
        <v>48.88</v>
      </c>
    </row>
    <row r="1421" spans="1:24" ht="15">
      <c r="A1421">
        <v>1414</v>
      </c>
      <c r="B1421">
        <v>60204</v>
      </c>
      <c r="C1421" t="s">
        <v>441</v>
      </c>
      <c r="D1421" t="s">
        <v>866</v>
      </c>
      <c r="E1421" t="s">
        <v>23</v>
      </c>
      <c r="F1421" t="str">
        <f>"00605281"</f>
        <v>00605281</v>
      </c>
      <c r="G1421">
        <v>21.88</v>
      </c>
      <c r="H1421">
        <v>0</v>
      </c>
      <c r="I1421">
        <v>0</v>
      </c>
      <c r="J1421">
        <v>20</v>
      </c>
      <c r="K1421">
        <v>20</v>
      </c>
      <c r="N1421">
        <v>3</v>
      </c>
      <c r="O1421">
        <v>3</v>
      </c>
      <c r="P1421">
        <v>4</v>
      </c>
      <c r="Q1421">
        <v>0</v>
      </c>
      <c r="R1421">
        <v>48.88</v>
      </c>
      <c r="S1421">
        <v>0</v>
      </c>
      <c r="T1421">
        <v>0</v>
      </c>
      <c r="U1421">
        <v>0</v>
      </c>
      <c r="V1421">
        <v>0</v>
      </c>
      <c r="X1421">
        <v>48.88</v>
      </c>
    </row>
    <row r="1422" spans="1:24" ht="15">
      <c r="A1422">
        <v>1415</v>
      </c>
      <c r="B1422">
        <v>73692</v>
      </c>
      <c r="C1422" t="s">
        <v>1224</v>
      </c>
      <c r="D1422" t="s">
        <v>29</v>
      </c>
      <c r="E1422" t="s">
        <v>30</v>
      </c>
      <c r="F1422" t="str">
        <f>"00643311"</f>
        <v>00643311</v>
      </c>
      <c r="G1422">
        <v>17.83</v>
      </c>
      <c r="H1422">
        <v>0</v>
      </c>
      <c r="I1422">
        <v>0</v>
      </c>
      <c r="J1422">
        <v>20</v>
      </c>
      <c r="K1422">
        <v>20</v>
      </c>
      <c r="L1422">
        <v>7</v>
      </c>
      <c r="O1422">
        <v>7</v>
      </c>
      <c r="P1422">
        <v>4</v>
      </c>
      <c r="Q1422">
        <v>0</v>
      </c>
      <c r="R1422">
        <v>48.83</v>
      </c>
      <c r="S1422">
        <v>0</v>
      </c>
      <c r="T1422">
        <v>0</v>
      </c>
      <c r="U1422">
        <v>0</v>
      </c>
      <c r="V1422">
        <v>0</v>
      </c>
      <c r="X1422">
        <v>48.83</v>
      </c>
    </row>
    <row r="1423" spans="1:24" ht="15">
      <c r="A1423">
        <v>1416</v>
      </c>
      <c r="B1423">
        <v>108000</v>
      </c>
      <c r="C1423" t="s">
        <v>1225</v>
      </c>
      <c r="D1423" t="s">
        <v>1226</v>
      </c>
      <c r="E1423" t="s">
        <v>80</v>
      </c>
      <c r="F1423" t="str">
        <f>"201412005045"</f>
        <v>201412005045</v>
      </c>
      <c r="G1423">
        <v>17.8</v>
      </c>
      <c r="H1423">
        <v>0</v>
      </c>
      <c r="I1423">
        <v>0</v>
      </c>
      <c r="J1423">
        <v>20</v>
      </c>
      <c r="K1423">
        <v>20</v>
      </c>
      <c r="L1423">
        <v>7</v>
      </c>
      <c r="O1423">
        <v>7</v>
      </c>
      <c r="P1423">
        <v>4</v>
      </c>
      <c r="Q1423">
        <v>0</v>
      </c>
      <c r="R1423">
        <v>48.8</v>
      </c>
      <c r="S1423">
        <v>0</v>
      </c>
      <c r="T1423">
        <v>0</v>
      </c>
      <c r="U1423">
        <v>0</v>
      </c>
      <c r="V1423">
        <v>0</v>
      </c>
      <c r="X1423">
        <v>48.8</v>
      </c>
    </row>
    <row r="1424" spans="1:24" ht="15">
      <c r="A1424">
        <v>1417</v>
      </c>
      <c r="B1424">
        <v>30546</v>
      </c>
      <c r="C1424" t="s">
        <v>1227</v>
      </c>
      <c r="D1424" t="s">
        <v>153</v>
      </c>
      <c r="E1424" t="s">
        <v>360</v>
      </c>
      <c r="F1424" t="str">
        <f>"00627605"</f>
        <v>00627605</v>
      </c>
      <c r="G1424">
        <v>17.78</v>
      </c>
      <c r="H1424">
        <v>0</v>
      </c>
      <c r="I1424">
        <v>0</v>
      </c>
      <c r="J1424">
        <v>20</v>
      </c>
      <c r="K1424">
        <v>20</v>
      </c>
      <c r="L1424">
        <v>7</v>
      </c>
      <c r="O1424">
        <v>7</v>
      </c>
      <c r="P1424">
        <v>4</v>
      </c>
      <c r="Q1424">
        <v>0</v>
      </c>
      <c r="R1424">
        <v>48.78</v>
      </c>
      <c r="S1424">
        <v>0</v>
      </c>
      <c r="T1424">
        <v>0</v>
      </c>
      <c r="U1424">
        <v>0</v>
      </c>
      <c r="V1424">
        <v>0</v>
      </c>
      <c r="X1424">
        <v>48.78</v>
      </c>
    </row>
    <row r="1425" spans="1:24" ht="15">
      <c r="A1425">
        <v>1418</v>
      </c>
      <c r="B1425">
        <v>113776</v>
      </c>
      <c r="C1425" t="s">
        <v>1228</v>
      </c>
      <c r="D1425" t="s">
        <v>1138</v>
      </c>
      <c r="E1425" t="s">
        <v>23</v>
      </c>
      <c r="F1425" t="str">
        <f>"201412006849"</f>
        <v>201412006849</v>
      </c>
      <c r="G1425">
        <v>15.75</v>
      </c>
      <c r="H1425">
        <v>0</v>
      </c>
      <c r="I1425">
        <v>0</v>
      </c>
      <c r="J1425">
        <v>20</v>
      </c>
      <c r="K1425">
        <v>20</v>
      </c>
      <c r="N1425">
        <v>3</v>
      </c>
      <c r="O1425">
        <v>3</v>
      </c>
      <c r="P1425">
        <v>4</v>
      </c>
      <c r="Q1425">
        <v>0</v>
      </c>
      <c r="R1425">
        <v>42.75</v>
      </c>
      <c r="S1425">
        <v>0</v>
      </c>
      <c r="T1425">
        <v>0</v>
      </c>
      <c r="U1425">
        <v>6</v>
      </c>
      <c r="V1425">
        <v>0</v>
      </c>
      <c r="X1425">
        <v>48.75</v>
      </c>
    </row>
    <row r="1426" spans="1:24" ht="15">
      <c r="A1426">
        <v>1419</v>
      </c>
      <c r="B1426">
        <v>71503</v>
      </c>
      <c r="C1426" t="s">
        <v>1229</v>
      </c>
      <c r="D1426" t="s">
        <v>505</v>
      </c>
      <c r="E1426" t="s">
        <v>327</v>
      </c>
      <c r="F1426" t="str">
        <f>"00019677"</f>
        <v>00019677</v>
      </c>
      <c r="G1426">
        <v>15.73</v>
      </c>
      <c r="H1426">
        <v>0</v>
      </c>
      <c r="I1426">
        <v>0</v>
      </c>
      <c r="J1426">
        <v>20</v>
      </c>
      <c r="K1426">
        <v>20</v>
      </c>
      <c r="N1426">
        <v>6</v>
      </c>
      <c r="O1426">
        <v>6</v>
      </c>
      <c r="P1426">
        <v>4</v>
      </c>
      <c r="Q1426">
        <v>0</v>
      </c>
      <c r="R1426">
        <v>45.73</v>
      </c>
      <c r="S1426">
        <v>0</v>
      </c>
      <c r="T1426">
        <v>0</v>
      </c>
      <c r="U1426">
        <v>3</v>
      </c>
      <c r="V1426">
        <v>0</v>
      </c>
      <c r="X1426">
        <v>48.73</v>
      </c>
    </row>
    <row r="1427" spans="1:24" ht="15">
      <c r="A1427">
        <v>1420</v>
      </c>
      <c r="B1427">
        <v>27975</v>
      </c>
      <c r="C1427" t="s">
        <v>1230</v>
      </c>
      <c r="D1427" t="s">
        <v>512</v>
      </c>
      <c r="E1427" t="s">
        <v>53</v>
      </c>
      <c r="F1427" t="str">
        <f>"00464002"</f>
        <v>00464002</v>
      </c>
      <c r="G1427">
        <v>18.65</v>
      </c>
      <c r="H1427">
        <v>0</v>
      </c>
      <c r="I1427">
        <v>0</v>
      </c>
      <c r="J1427">
        <v>20</v>
      </c>
      <c r="K1427">
        <v>20</v>
      </c>
      <c r="N1427">
        <v>3</v>
      </c>
      <c r="O1427">
        <v>3</v>
      </c>
      <c r="P1427">
        <v>4</v>
      </c>
      <c r="Q1427">
        <v>0</v>
      </c>
      <c r="R1427">
        <v>45.65</v>
      </c>
      <c r="S1427">
        <v>0</v>
      </c>
      <c r="T1427">
        <v>0</v>
      </c>
      <c r="U1427">
        <v>3</v>
      </c>
      <c r="V1427">
        <v>0</v>
      </c>
      <c r="X1427">
        <v>48.65</v>
      </c>
    </row>
    <row r="1428" spans="1:24" ht="15">
      <c r="A1428">
        <v>1421</v>
      </c>
      <c r="B1428">
        <v>76921</v>
      </c>
      <c r="C1428" t="s">
        <v>1234</v>
      </c>
      <c r="D1428" t="s">
        <v>253</v>
      </c>
      <c r="E1428" t="s">
        <v>288</v>
      </c>
      <c r="F1428" t="str">
        <f>"00528889"</f>
        <v>00528889</v>
      </c>
      <c r="G1428">
        <v>17.63</v>
      </c>
      <c r="H1428">
        <v>0</v>
      </c>
      <c r="I1428">
        <v>0</v>
      </c>
      <c r="J1428">
        <v>20</v>
      </c>
      <c r="K1428">
        <v>20</v>
      </c>
      <c r="L1428">
        <v>7</v>
      </c>
      <c r="O1428">
        <v>7</v>
      </c>
      <c r="P1428">
        <v>4</v>
      </c>
      <c r="Q1428">
        <v>0</v>
      </c>
      <c r="R1428">
        <v>48.63</v>
      </c>
      <c r="S1428">
        <v>0</v>
      </c>
      <c r="T1428">
        <v>0</v>
      </c>
      <c r="U1428">
        <v>0</v>
      </c>
      <c r="V1428">
        <v>0</v>
      </c>
      <c r="X1428">
        <v>48.63</v>
      </c>
    </row>
    <row r="1429" spans="1:24" ht="15">
      <c r="A1429">
        <v>1422</v>
      </c>
      <c r="B1429">
        <v>86539</v>
      </c>
      <c r="C1429" t="s">
        <v>1235</v>
      </c>
      <c r="D1429" t="s">
        <v>153</v>
      </c>
      <c r="E1429" t="s">
        <v>1171</v>
      </c>
      <c r="F1429" t="str">
        <f>"00612900"</f>
        <v>00612900</v>
      </c>
      <c r="G1429">
        <v>17.63</v>
      </c>
      <c r="H1429">
        <v>0</v>
      </c>
      <c r="I1429">
        <v>0</v>
      </c>
      <c r="J1429">
        <v>20</v>
      </c>
      <c r="K1429">
        <v>20</v>
      </c>
      <c r="L1429">
        <v>7</v>
      </c>
      <c r="O1429">
        <v>7</v>
      </c>
      <c r="P1429">
        <v>4</v>
      </c>
      <c r="Q1429">
        <v>0</v>
      </c>
      <c r="R1429">
        <v>48.63</v>
      </c>
      <c r="S1429">
        <v>0</v>
      </c>
      <c r="T1429">
        <v>0</v>
      </c>
      <c r="U1429">
        <v>0</v>
      </c>
      <c r="V1429">
        <v>0</v>
      </c>
      <c r="X1429">
        <v>48.63</v>
      </c>
    </row>
    <row r="1430" spans="1:24" ht="15">
      <c r="A1430">
        <v>1423</v>
      </c>
      <c r="B1430">
        <v>24596</v>
      </c>
      <c r="C1430" t="s">
        <v>1239</v>
      </c>
      <c r="D1430" t="s">
        <v>1240</v>
      </c>
      <c r="E1430" t="s">
        <v>114</v>
      </c>
      <c r="F1430" t="str">
        <f>"200801000208"</f>
        <v>200801000208</v>
      </c>
      <c r="G1430">
        <v>15.5</v>
      </c>
      <c r="H1430">
        <v>0</v>
      </c>
      <c r="I1430">
        <v>0</v>
      </c>
      <c r="J1430">
        <v>20</v>
      </c>
      <c r="K1430">
        <v>20</v>
      </c>
      <c r="N1430">
        <v>3</v>
      </c>
      <c r="O1430">
        <v>3</v>
      </c>
      <c r="P1430">
        <v>4</v>
      </c>
      <c r="Q1430">
        <v>0</v>
      </c>
      <c r="R1430">
        <v>42.5</v>
      </c>
      <c r="S1430">
        <v>0</v>
      </c>
      <c r="T1430">
        <v>0</v>
      </c>
      <c r="U1430">
        <v>6</v>
      </c>
      <c r="V1430">
        <v>0</v>
      </c>
      <c r="X1430">
        <v>48.5</v>
      </c>
    </row>
    <row r="1431" spans="1:24" ht="15">
      <c r="A1431">
        <v>1424</v>
      </c>
      <c r="B1431">
        <v>6347</v>
      </c>
      <c r="C1431" t="s">
        <v>1241</v>
      </c>
      <c r="D1431" t="s">
        <v>683</v>
      </c>
      <c r="E1431" t="s">
        <v>30</v>
      </c>
      <c r="F1431" t="str">
        <f>"201402007373"</f>
        <v>201402007373</v>
      </c>
      <c r="G1431">
        <v>16.5</v>
      </c>
      <c r="H1431">
        <v>0</v>
      </c>
      <c r="I1431">
        <v>0</v>
      </c>
      <c r="J1431">
        <v>20</v>
      </c>
      <c r="K1431">
        <v>20</v>
      </c>
      <c r="M1431">
        <v>5</v>
      </c>
      <c r="O1431">
        <v>5</v>
      </c>
      <c r="P1431">
        <v>4</v>
      </c>
      <c r="Q1431">
        <v>0</v>
      </c>
      <c r="R1431">
        <v>45.5</v>
      </c>
      <c r="S1431">
        <v>0</v>
      </c>
      <c r="T1431">
        <v>0</v>
      </c>
      <c r="U1431">
        <v>3</v>
      </c>
      <c r="V1431">
        <v>0</v>
      </c>
      <c r="X1431">
        <v>48.5</v>
      </c>
    </row>
    <row r="1432" spans="1:24" ht="15">
      <c r="A1432">
        <v>1425</v>
      </c>
      <c r="B1432">
        <v>47959</v>
      </c>
      <c r="C1432" t="s">
        <v>1244</v>
      </c>
      <c r="D1432" t="s">
        <v>505</v>
      </c>
      <c r="E1432" t="s">
        <v>27</v>
      </c>
      <c r="F1432" t="str">
        <f>"00176263"</f>
        <v>00176263</v>
      </c>
      <c r="G1432">
        <v>18.48</v>
      </c>
      <c r="H1432">
        <v>0</v>
      </c>
      <c r="I1432">
        <v>0</v>
      </c>
      <c r="J1432">
        <v>20</v>
      </c>
      <c r="K1432">
        <v>20</v>
      </c>
      <c r="N1432">
        <v>3</v>
      </c>
      <c r="O1432">
        <v>3</v>
      </c>
      <c r="P1432">
        <v>4</v>
      </c>
      <c r="Q1432">
        <v>0</v>
      </c>
      <c r="R1432">
        <v>45.48</v>
      </c>
      <c r="S1432">
        <v>0</v>
      </c>
      <c r="T1432">
        <v>0</v>
      </c>
      <c r="U1432">
        <v>3</v>
      </c>
      <c r="V1432">
        <v>0</v>
      </c>
      <c r="X1432">
        <v>48.48</v>
      </c>
    </row>
    <row r="1433" spans="1:24" ht="15">
      <c r="A1433">
        <v>1426</v>
      </c>
      <c r="B1433">
        <v>588</v>
      </c>
      <c r="C1433" t="s">
        <v>1245</v>
      </c>
      <c r="D1433" t="s">
        <v>349</v>
      </c>
      <c r="E1433" t="s">
        <v>21</v>
      </c>
      <c r="F1433" t="str">
        <f>"201505000122"</f>
        <v>201505000122</v>
      </c>
      <c r="G1433">
        <v>18.43</v>
      </c>
      <c r="H1433">
        <v>0</v>
      </c>
      <c r="I1433">
        <v>0</v>
      </c>
      <c r="J1433">
        <v>20</v>
      </c>
      <c r="K1433">
        <v>20</v>
      </c>
      <c r="N1433">
        <v>3</v>
      </c>
      <c r="O1433">
        <v>3</v>
      </c>
      <c r="P1433">
        <v>4</v>
      </c>
      <c r="Q1433">
        <v>0</v>
      </c>
      <c r="R1433">
        <v>45.43</v>
      </c>
      <c r="S1433">
        <v>0</v>
      </c>
      <c r="T1433">
        <v>0</v>
      </c>
      <c r="U1433">
        <v>3</v>
      </c>
      <c r="V1433">
        <v>0</v>
      </c>
      <c r="X1433">
        <v>48.43</v>
      </c>
    </row>
    <row r="1434" spans="1:24" ht="15">
      <c r="A1434">
        <v>1427</v>
      </c>
      <c r="B1434">
        <v>115916</v>
      </c>
      <c r="C1434" t="s">
        <v>1249</v>
      </c>
      <c r="D1434" t="s">
        <v>1250</v>
      </c>
      <c r="E1434" t="s">
        <v>30</v>
      </c>
      <c r="F1434" t="str">
        <f>"00599606"</f>
        <v>00599606</v>
      </c>
      <c r="G1434">
        <v>17.38</v>
      </c>
      <c r="H1434">
        <v>0</v>
      </c>
      <c r="I1434">
        <v>0</v>
      </c>
      <c r="J1434">
        <v>20</v>
      </c>
      <c r="K1434">
        <v>20</v>
      </c>
      <c r="L1434">
        <v>7</v>
      </c>
      <c r="O1434">
        <v>7</v>
      </c>
      <c r="P1434">
        <v>4</v>
      </c>
      <c r="Q1434">
        <v>0</v>
      </c>
      <c r="R1434">
        <v>48.38</v>
      </c>
      <c r="S1434">
        <v>0</v>
      </c>
      <c r="T1434">
        <v>0</v>
      </c>
      <c r="U1434">
        <v>0</v>
      </c>
      <c r="V1434">
        <v>0</v>
      </c>
      <c r="X1434">
        <v>48.38</v>
      </c>
    </row>
    <row r="1435" spans="1:24" ht="15">
      <c r="A1435">
        <v>1428</v>
      </c>
      <c r="B1435">
        <v>60168</v>
      </c>
      <c r="C1435" t="s">
        <v>1251</v>
      </c>
      <c r="D1435" t="s">
        <v>1009</v>
      </c>
      <c r="E1435" t="s">
        <v>53</v>
      </c>
      <c r="F1435" t="str">
        <f>"00547006"</f>
        <v>00547006</v>
      </c>
      <c r="G1435">
        <v>17.38</v>
      </c>
      <c r="H1435">
        <v>0</v>
      </c>
      <c r="I1435">
        <v>0</v>
      </c>
      <c r="J1435">
        <v>20</v>
      </c>
      <c r="K1435">
        <v>20</v>
      </c>
      <c r="L1435">
        <v>7</v>
      </c>
      <c r="O1435">
        <v>7</v>
      </c>
      <c r="P1435">
        <v>4</v>
      </c>
      <c r="Q1435">
        <v>0</v>
      </c>
      <c r="R1435">
        <v>48.38</v>
      </c>
      <c r="S1435">
        <v>0</v>
      </c>
      <c r="T1435">
        <v>0</v>
      </c>
      <c r="U1435">
        <v>0</v>
      </c>
      <c r="V1435">
        <v>0</v>
      </c>
      <c r="X1435">
        <v>48.38</v>
      </c>
    </row>
    <row r="1436" spans="1:24" ht="15">
      <c r="A1436">
        <v>1429</v>
      </c>
      <c r="B1436">
        <v>422</v>
      </c>
      <c r="C1436" t="s">
        <v>1252</v>
      </c>
      <c r="D1436" t="s">
        <v>288</v>
      </c>
      <c r="E1436" t="s">
        <v>27</v>
      </c>
      <c r="F1436" t="str">
        <f>"201503000324"</f>
        <v>201503000324</v>
      </c>
      <c r="G1436">
        <v>17.38</v>
      </c>
      <c r="H1436">
        <v>0</v>
      </c>
      <c r="I1436">
        <v>0</v>
      </c>
      <c r="J1436">
        <v>20</v>
      </c>
      <c r="K1436">
        <v>20</v>
      </c>
      <c r="L1436">
        <v>7</v>
      </c>
      <c r="O1436">
        <v>7</v>
      </c>
      <c r="P1436">
        <v>4</v>
      </c>
      <c r="Q1436">
        <v>0</v>
      </c>
      <c r="R1436">
        <v>48.38</v>
      </c>
      <c r="S1436">
        <v>0</v>
      </c>
      <c r="T1436">
        <v>0</v>
      </c>
      <c r="U1436">
        <v>0</v>
      </c>
      <c r="V1436">
        <v>0</v>
      </c>
      <c r="X1436">
        <v>48.38</v>
      </c>
    </row>
    <row r="1437" spans="1:24" ht="15">
      <c r="A1437">
        <v>1430</v>
      </c>
      <c r="B1437">
        <v>62387</v>
      </c>
      <c r="C1437" t="s">
        <v>1253</v>
      </c>
      <c r="D1437" t="s">
        <v>27</v>
      </c>
      <c r="E1437" t="s">
        <v>1254</v>
      </c>
      <c r="F1437" t="str">
        <f>"00465061"</f>
        <v>00465061</v>
      </c>
      <c r="G1437">
        <v>21.35</v>
      </c>
      <c r="H1437">
        <v>0</v>
      </c>
      <c r="I1437">
        <v>0</v>
      </c>
      <c r="J1437">
        <v>20</v>
      </c>
      <c r="K1437">
        <v>20</v>
      </c>
      <c r="O1437">
        <v>0</v>
      </c>
      <c r="P1437">
        <v>4</v>
      </c>
      <c r="Q1437">
        <v>0</v>
      </c>
      <c r="R1437">
        <v>45.35</v>
      </c>
      <c r="S1437">
        <v>0</v>
      </c>
      <c r="T1437">
        <v>0</v>
      </c>
      <c r="U1437">
        <v>3</v>
      </c>
      <c r="V1437">
        <v>0</v>
      </c>
      <c r="X1437">
        <v>48.35</v>
      </c>
    </row>
    <row r="1438" spans="1:24" ht="15">
      <c r="A1438">
        <v>1431</v>
      </c>
      <c r="B1438">
        <v>30653</v>
      </c>
      <c r="C1438" t="s">
        <v>1255</v>
      </c>
      <c r="D1438" t="s">
        <v>30</v>
      </c>
      <c r="E1438" t="s">
        <v>201</v>
      </c>
      <c r="F1438" t="str">
        <f>"00574710"</f>
        <v>00574710</v>
      </c>
      <c r="G1438">
        <v>17.28</v>
      </c>
      <c r="H1438">
        <v>0</v>
      </c>
      <c r="I1438">
        <v>0</v>
      </c>
      <c r="J1438">
        <v>20</v>
      </c>
      <c r="K1438">
        <v>20</v>
      </c>
      <c r="L1438">
        <v>7</v>
      </c>
      <c r="O1438">
        <v>7</v>
      </c>
      <c r="P1438">
        <v>4</v>
      </c>
      <c r="Q1438">
        <v>0</v>
      </c>
      <c r="R1438">
        <v>48.28</v>
      </c>
      <c r="S1438">
        <v>0</v>
      </c>
      <c r="T1438">
        <v>0</v>
      </c>
      <c r="U1438">
        <v>0</v>
      </c>
      <c r="V1438">
        <v>0</v>
      </c>
      <c r="X1438">
        <v>48.28</v>
      </c>
    </row>
    <row r="1439" spans="1:24" ht="15">
      <c r="A1439">
        <v>1432</v>
      </c>
      <c r="B1439">
        <v>110020</v>
      </c>
      <c r="C1439" t="s">
        <v>36</v>
      </c>
      <c r="D1439" t="s">
        <v>21</v>
      </c>
      <c r="E1439" t="s">
        <v>194</v>
      </c>
      <c r="F1439" t="str">
        <f>"00636145"</f>
        <v>00636145</v>
      </c>
      <c r="G1439">
        <v>21.25</v>
      </c>
      <c r="H1439">
        <v>0</v>
      </c>
      <c r="I1439">
        <v>0</v>
      </c>
      <c r="J1439">
        <v>20</v>
      </c>
      <c r="K1439">
        <v>20</v>
      </c>
      <c r="L1439">
        <v>7</v>
      </c>
      <c r="O1439">
        <v>7</v>
      </c>
      <c r="P1439">
        <v>0</v>
      </c>
      <c r="Q1439">
        <v>0</v>
      </c>
      <c r="R1439">
        <v>48.25</v>
      </c>
      <c r="S1439">
        <v>0</v>
      </c>
      <c r="T1439">
        <v>0</v>
      </c>
      <c r="U1439">
        <v>0</v>
      </c>
      <c r="V1439">
        <v>0</v>
      </c>
      <c r="X1439">
        <v>48.25</v>
      </c>
    </row>
    <row r="1440" spans="1:24" ht="15">
      <c r="A1440">
        <v>1433</v>
      </c>
      <c r="B1440">
        <v>31168</v>
      </c>
      <c r="C1440" t="s">
        <v>1256</v>
      </c>
      <c r="D1440" t="s">
        <v>29</v>
      </c>
      <c r="E1440" t="s">
        <v>53</v>
      </c>
      <c r="F1440" t="str">
        <f>"00560809"</f>
        <v>00560809</v>
      </c>
      <c r="G1440">
        <v>20.25</v>
      </c>
      <c r="H1440">
        <v>0</v>
      </c>
      <c r="I1440">
        <v>0</v>
      </c>
      <c r="J1440">
        <v>0</v>
      </c>
      <c r="K1440">
        <v>0</v>
      </c>
      <c r="O1440">
        <v>0</v>
      </c>
      <c r="P1440">
        <v>4</v>
      </c>
      <c r="Q1440">
        <v>0</v>
      </c>
      <c r="R1440">
        <v>24.25</v>
      </c>
      <c r="S1440">
        <v>24</v>
      </c>
      <c r="T1440">
        <v>24</v>
      </c>
      <c r="U1440">
        <v>0</v>
      </c>
      <c r="V1440">
        <v>0</v>
      </c>
      <c r="X1440">
        <v>48.25</v>
      </c>
    </row>
    <row r="1441" spans="1:24" ht="15">
      <c r="A1441">
        <v>1434</v>
      </c>
      <c r="B1441">
        <v>88692</v>
      </c>
      <c r="C1441" t="s">
        <v>300</v>
      </c>
      <c r="D1441" t="s">
        <v>461</v>
      </c>
      <c r="E1441" t="s">
        <v>21</v>
      </c>
      <c r="F1441" t="str">
        <f>"00643561"</f>
        <v>00643561</v>
      </c>
      <c r="G1441">
        <v>18.18</v>
      </c>
      <c r="H1441">
        <v>0</v>
      </c>
      <c r="I1441">
        <v>0</v>
      </c>
      <c r="J1441">
        <v>20</v>
      </c>
      <c r="K1441">
        <v>20</v>
      </c>
      <c r="L1441">
        <v>7</v>
      </c>
      <c r="N1441">
        <v>3</v>
      </c>
      <c r="O1441">
        <v>10</v>
      </c>
      <c r="P1441">
        <v>0</v>
      </c>
      <c r="Q1441">
        <v>0</v>
      </c>
      <c r="R1441">
        <v>48.18</v>
      </c>
      <c r="S1441">
        <v>0</v>
      </c>
      <c r="T1441">
        <v>0</v>
      </c>
      <c r="U1441">
        <v>0</v>
      </c>
      <c r="V1441">
        <v>0</v>
      </c>
      <c r="X1441">
        <v>48.18</v>
      </c>
    </row>
    <row r="1442" spans="1:24" ht="15">
      <c r="A1442">
        <v>1435</v>
      </c>
      <c r="B1442">
        <v>104918</v>
      </c>
      <c r="C1442" t="s">
        <v>1259</v>
      </c>
      <c r="D1442" t="s">
        <v>17</v>
      </c>
      <c r="E1442" t="s">
        <v>21</v>
      </c>
      <c r="F1442" t="str">
        <f>"00216331"</f>
        <v>00216331</v>
      </c>
      <c r="G1442">
        <v>19.15</v>
      </c>
      <c r="H1442">
        <v>0</v>
      </c>
      <c r="I1442">
        <v>0</v>
      </c>
      <c r="J1442">
        <v>20</v>
      </c>
      <c r="K1442">
        <v>20</v>
      </c>
      <c r="M1442">
        <v>5</v>
      </c>
      <c r="O1442">
        <v>5</v>
      </c>
      <c r="P1442">
        <v>4</v>
      </c>
      <c r="Q1442">
        <v>0</v>
      </c>
      <c r="R1442">
        <v>48.15</v>
      </c>
      <c r="S1442">
        <v>0</v>
      </c>
      <c r="T1442">
        <v>0</v>
      </c>
      <c r="U1442">
        <v>0</v>
      </c>
      <c r="V1442">
        <v>0</v>
      </c>
      <c r="X1442">
        <v>48.15</v>
      </c>
    </row>
    <row r="1443" spans="1:24" ht="15">
      <c r="A1443">
        <v>1436</v>
      </c>
      <c r="B1443">
        <v>67882</v>
      </c>
      <c r="C1443" t="s">
        <v>1263</v>
      </c>
      <c r="D1443" t="s">
        <v>29</v>
      </c>
      <c r="E1443" t="s">
        <v>80</v>
      </c>
      <c r="F1443" t="str">
        <f>"00202903"</f>
        <v>00202903</v>
      </c>
      <c r="G1443">
        <v>16.03</v>
      </c>
      <c r="H1443">
        <v>0</v>
      </c>
      <c r="I1443">
        <v>0</v>
      </c>
      <c r="J1443">
        <v>20</v>
      </c>
      <c r="K1443">
        <v>20</v>
      </c>
      <c r="N1443">
        <v>6</v>
      </c>
      <c r="O1443">
        <v>6</v>
      </c>
      <c r="P1443">
        <v>4</v>
      </c>
      <c r="Q1443">
        <v>2</v>
      </c>
      <c r="R1443">
        <v>48.03</v>
      </c>
      <c r="S1443">
        <v>0</v>
      </c>
      <c r="T1443">
        <v>0</v>
      </c>
      <c r="U1443">
        <v>0</v>
      </c>
      <c r="V1443">
        <v>0</v>
      </c>
      <c r="X1443">
        <v>48.03</v>
      </c>
    </row>
    <row r="1444" spans="1:24" ht="15">
      <c r="A1444">
        <v>1437</v>
      </c>
      <c r="B1444">
        <v>99609</v>
      </c>
      <c r="C1444" t="s">
        <v>1264</v>
      </c>
      <c r="D1444" t="s">
        <v>1265</v>
      </c>
      <c r="E1444" t="s">
        <v>113</v>
      </c>
      <c r="F1444" t="str">
        <f>"00634281"</f>
        <v>00634281</v>
      </c>
      <c r="G1444">
        <v>19</v>
      </c>
      <c r="H1444">
        <v>0</v>
      </c>
      <c r="I1444">
        <v>0</v>
      </c>
      <c r="J1444">
        <v>20</v>
      </c>
      <c r="K1444">
        <v>20</v>
      </c>
      <c r="M1444">
        <v>5</v>
      </c>
      <c r="O1444">
        <v>5</v>
      </c>
      <c r="P1444">
        <v>4</v>
      </c>
      <c r="Q1444">
        <v>0</v>
      </c>
      <c r="R1444">
        <v>48</v>
      </c>
      <c r="S1444">
        <v>0</v>
      </c>
      <c r="T1444">
        <v>0</v>
      </c>
      <c r="U1444">
        <v>0</v>
      </c>
      <c r="V1444">
        <v>0</v>
      </c>
      <c r="X1444">
        <v>48</v>
      </c>
    </row>
    <row r="1445" spans="1:24" ht="15">
      <c r="A1445">
        <v>1438</v>
      </c>
      <c r="B1445">
        <v>115919</v>
      </c>
      <c r="C1445" t="s">
        <v>1266</v>
      </c>
      <c r="D1445" t="s">
        <v>370</v>
      </c>
      <c r="E1445" t="s">
        <v>44</v>
      </c>
      <c r="F1445" t="str">
        <f>"201402009939"</f>
        <v>201402009939</v>
      </c>
      <c r="G1445">
        <v>19</v>
      </c>
      <c r="H1445">
        <v>0</v>
      </c>
      <c r="I1445">
        <v>0</v>
      </c>
      <c r="J1445">
        <v>20</v>
      </c>
      <c r="K1445">
        <v>20</v>
      </c>
      <c r="M1445">
        <v>5</v>
      </c>
      <c r="O1445">
        <v>5</v>
      </c>
      <c r="P1445">
        <v>4</v>
      </c>
      <c r="Q1445">
        <v>0</v>
      </c>
      <c r="R1445">
        <v>48</v>
      </c>
      <c r="S1445">
        <v>0</v>
      </c>
      <c r="T1445">
        <v>0</v>
      </c>
      <c r="U1445">
        <v>0</v>
      </c>
      <c r="V1445">
        <v>0</v>
      </c>
      <c r="X1445">
        <v>48</v>
      </c>
    </row>
    <row r="1446" spans="1:24" ht="15">
      <c r="A1446">
        <v>1439</v>
      </c>
      <c r="B1446">
        <v>78208</v>
      </c>
      <c r="C1446" t="s">
        <v>1267</v>
      </c>
      <c r="D1446" t="s">
        <v>1268</v>
      </c>
      <c r="E1446" t="s">
        <v>20</v>
      </c>
      <c r="F1446" t="str">
        <f>"201504002560"</f>
        <v>201504002560</v>
      </c>
      <c r="G1446">
        <v>16.98</v>
      </c>
      <c r="H1446">
        <v>0</v>
      </c>
      <c r="I1446">
        <v>0</v>
      </c>
      <c r="J1446">
        <v>20</v>
      </c>
      <c r="K1446">
        <v>20</v>
      </c>
      <c r="L1446">
        <v>7</v>
      </c>
      <c r="O1446">
        <v>7</v>
      </c>
      <c r="P1446">
        <v>4</v>
      </c>
      <c r="Q1446">
        <v>0</v>
      </c>
      <c r="R1446">
        <v>47.98</v>
      </c>
      <c r="S1446">
        <v>0</v>
      </c>
      <c r="T1446">
        <v>0</v>
      </c>
      <c r="U1446">
        <v>0</v>
      </c>
      <c r="V1446">
        <v>0</v>
      </c>
      <c r="X1446">
        <v>47.98</v>
      </c>
    </row>
    <row r="1447" spans="1:24" ht="15">
      <c r="A1447">
        <v>1440</v>
      </c>
      <c r="B1447">
        <v>53314</v>
      </c>
      <c r="C1447" t="s">
        <v>1269</v>
      </c>
      <c r="D1447" t="s">
        <v>738</v>
      </c>
      <c r="E1447" t="s">
        <v>17</v>
      </c>
      <c r="F1447" t="str">
        <f>"00153143"</f>
        <v>00153143</v>
      </c>
      <c r="G1447">
        <v>16.98</v>
      </c>
      <c r="H1447">
        <v>0</v>
      </c>
      <c r="I1447">
        <v>0</v>
      </c>
      <c r="J1447">
        <v>20</v>
      </c>
      <c r="K1447">
        <v>20</v>
      </c>
      <c r="L1447">
        <v>7</v>
      </c>
      <c r="O1447">
        <v>7</v>
      </c>
      <c r="P1447">
        <v>4</v>
      </c>
      <c r="Q1447">
        <v>0</v>
      </c>
      <c r="R1447">
        <v>47.98</v>
      </c>
      <c r="S1447">
        <v>0</v>
      </c>
      <c r="T1447">
        <v>0</v>
      </c>
      <c r="U1447">
        <v>0</v>
      </c>
      <c r="V1447">
        <v>0</v>
      </c>
      <c r="X1447">
        <v>47.98</v>
      </c>
    </row>
    <row r="1448" spans="1:24" ht="15">
      <c r="A1448">
        <v>1441</v>
      </c>
      <c r="B1448">
        <v>14216</v>
      </c>
      <c r="C1448" t="s">
        <v>1270</v>
      </c>
      <c r="D1448" t="s">
        <v>46</v>
      </c>
      <c r="E1448" t="s">
        <v>27</v>
      </c>
      <c r="F1448" t="str">
        <f>"00606768"</f>
        <v>00606768</v>
      </c>
      <c r="G1448">
        <v>20.95</v>
      </c>
      <c r="H1448">
        <v>0</v>
      </c>
      <c r="I1448">
        <v>0</v>
      </c>
      <c r="J1448">
        <v>20</v>
      </c>
      <c r="K1448">
        <v>20</v>
      </c>
      <c r="N1448">
        <v>3</v>
      </c>
      <c r="O1448">
        <v>3</v>
      </c>
      <c r="P1448">
        <v>4</v>
      </c>
      <c r="Q1448">
        <v>0</v>
      </c>
      <c r="R1448">
        <v>47.95</v>
      </c>
      <c r="S1448">
        <v>0</v>
      </c>
      <c r="T1448">
        <v>0</v>
      </c>
      <c r="U1448">
        <v>0</v>
      </c>
      <c r="V1448">
        <v>0</v>
      </c>
      <c r="X1448">
        <v>47.95</v>
      </c>
    </row>
    <row r="1449" spans="1:24" ht="15">
      <c r="A1449">
        <v>1442</v>
      </c>
      <c r="B1449">
        <v>78681</v>
      </c>
      <c r="C1449" t="s">
        <v>1273</v>
      </c>
      <c r="D1449" t="s">
        <v>1023</v>
      </c>
      <c r="E1449" t="s">
        <v>80</v>
      </c>
      <c r="F1449" t="str">
        <f>"201511043202"</f>
        <v>201511043202</v>
      </c>
      <c r="G1449">
        <v>16.95</v>
      </c>
      <c r="H1449">
        <v>0</v>
      </c>
      <c r="I1449">
        <v>0</v>
      </c>
      <c r="J1449">
        <v>20</v>
      </c>
      <c r="K1449">
        <v>20</v>
      </c>
      <c r="L1449">
        <v>7</v>
      </c>
      <c r="O1449">
        <v>7</v>
      </c>
      <c r="P1449">
        <v>4</v>
      </c>
      <c r="Q1449">
        <v>0</v>
      </c>
      <c r="R1449">
        <v>47.95</v>
      </c>
      <c r="S1449">
        <v>0</v>
      </c>
      <c r="T1449">
        <v>0</v>
      </c>
      <c r="U1449">
        <v>0</v>
      </c>
      <c r="V1449">
        <v>0</v>
      </c>
      <c r="X1449">
        <v>47.95</v>
      </c>
    </row>
    <row r="1450" spans="1:24" ht="15">
      <c r="A1450">
        <v>1443</v>
      </c>
      <c r="B1450">
        <v>564</v>
      </c>
      <c r="C1450" t="s">
        <v>1275</v>
      </c>
      <c r="D1450" t="s">
        <v>29</v>
      </c>
      <c r="E1450" t="s">
        <v>281</v>
      </c>
      <c r="F1450" t="str">
        <f>"00611912"</f>
        <v>00611912</v>
      </c>
      <c r="G1450">
        <v>16.85</v>
      </c>
      <c r="H1450">
        <v>0</v>
      </c>
      <c r="I1450">
        <v>0</v>
      </c>
      <c r="J1450">
        <v>20</v>
      </c>
      <c r="K1450">
        <v>20</v>
      </c>
      <c r="L1450">
        <v>7</v>
      </c>
      <c r="O1450">
        <v>7</v>
      </c>
      <c r="P1450">
        <v>4</v>
      </c>
      <c r="Q1450">
        <v>0</v>
      </c>
      <c r="R1450">
        <v>47.85</v>
      </c>
      <c r="S1450">
        <v>0</v>
      </c>
      <c r="T1450">
        <v>0</v>
      </c>
      <c r="U1450">
        <v>0</v>
      </c>
      <c r="V1450">
        <v>0</v>
      </c>
      <c r="X1450">
        <v>47.85</v>
      </c>
    </row>
    <row r="1451" spans="1:24" ht="15">
      <c r="A1451">
        <v>1444</v>
      </c>
      <c r="B1451">
        <v>38584</v>
      </c>
      <c r="C1451" t="s">
        <v>1278</v>
      </c>
      <c r="D1451" t="s">
        <v>1279</v>
      </c>
      <c r="E1451" t="s">
        <v>17</v>
      </c>
      <c r="F1451" t="str">
        <f>"00040851"</f>
        <v>00040851</v>
      </c>
      <c r="G1451">
        <v>20.78</v>
      </c>
      <c r="H1451">
        <v>0</v>
      </c>
      <c r="I1451">
        <v>0</v>
      </c>
      <c r="J1451">
        <v>20</v>
      </c>
      <c r="K1451">
        <v>20</v>
      </c>
      <c r="N1451">
        <v>3</v>
      </c>
      <c r="O1451">
        <v>3</v>
      </c>
      <c r="P1451">
        <v>4</v>
      </c>
      <c r="Q1451">
        <v>0</v>
      </c>
      <c r="R1451">
        <v>47.78</v>
      </c>
      <c r="S1451">
        <v>0</v>
      </c>
      <c r="T1451">
        <v>0</v>
      </c>
      <c r="U1451">
        <v>0</v>
      </c>
      <c r="V1451">
        <v>0</v>
      </c>
      <c r="X1451">
        <v>47.78</v>
      </c>
    </row>
    <row r="1452" spans="1:24" ht="15">
      <c r="A1452">
        <v>1445</v>
      </c>
      <c r="B1452">
        <v>31522</v>
      </c>
      <c r="C1452" t="s">
        <v>1280</v>
      </c>
      <c r="D1452" t="s">
        <v>80</v>
      </c>
      <c r="E1452" t="s">
        <v>30</v>
      </c>
      <c r="F1452" t="str">
        <f>"00463391"</f>
        <v>00463391</v>
      </c>
      <c r="G1452">
        <v>16.78</v>
      </c>
      <c r="H1452">
        <v>0</v>
      </c>
      <c r="I1452">
        <v>0</v>
      </c>
      <c r="J1452">
        <v>20</v>
      </c>
      <c r="K1452">
        <v>20</v>
      </c>
      <c r="L1452">
        <v>7</v>
      </c>
      <c r="O1452">
        <v>7</v>
      </c>
      <c r="P1452">
        <v>4</v>
      </c>
      <c r="Q1452">
        <v>0</v>
      </c>
      <c r="R1452">
        <v>47.78</v>
      </c>
      <c r="S1452">
        <v>0</v>
      </c>
      <c r="T1452">
        <v>0</v>
      </c>
      <c r="U1452">
        <v>0</v>
      </c>
      <c r="V1452">
        <v>0</v>
      </c>
      <c r="X1452">
        <v>47.78</v>
      </c>
    </row>
    <row r="1453" spans="1:24" ht="15">
      <c r="A1453">
        <v>1446</v>
      </c>
      <c r="B1453">
        <v>36119</v>
      </c>
      <c r="C1453" t="s">
        <v>1161</v>
      </c>
      <c r="D1453" t="s">
        <v>37</v>
      </c>
      <c r="E1453" t="s">
        <v>30</v>
      </c>
      <c r="F1453" t="str">
        <f>"00215027"</f>
        <v>00215027</v>
      </c>
      <c r="G1453">
        <v>17.58</v>
      </c>
      <c r="H1453">
        <v>0</v>
      </c>
      <c r="I1453">
        <v>0</v>
      </c>
      <c r="J1453">
        <v>20</v>
      </c>
      <c r="K1453">
        <v>20</v>
      </c>
      <c r="N1453">
        <v>6</v>
      </c>
      <c r="O1453">
        <v>6</v>
      </c>
      <c r="P1453">
        <v>4</v>
      </c>
      <c r="Q1453">
        <v>0</v>
      </c>
      <c r="R1453">
        <v>47.58</v>
      </c>
      <c r="S1453">
        <v>0</v>
      </c>
      <c r="T1453">
        <v>0</v>
      </c>
      <c r="U1453">
        <v>0</v>
      </c>
      <c r="V1453">
        <v>0</v>
      </c>
      <c r="X1453">
        <v>47.58</v>
      </c>
    </row>
    <row r="1454" spans="1:24" ht="15">
      <c r="A1454">
        <v>1447</v>
      </c>
      <c r="B1454">
        <v>42886</v>
      </c>
      <c r="C1454" t="s">
        <v>1288</v>
      </c>
      <c r="D1454" t="s">
        <v>1289</v>
      </c>
      <c r="E1454" t="s">
        <v>1290</v>
      </c>
      <c r="F1454" t="str">
        <f>"00278665"</f>
        <v>00278665</v>
      </c>
      <c r="G1454">
        <v>17.53</v>
      </c>
      <c r="H1454">
        <v>0</v>
      </c>
      <c r="I1454">
        <v>0</v>
      </c>
      <c r="J1454">
        <v>20</v>
      </c>
      <c r="K1454">
        <v>20</v>
      </c>
      <c r="N1454">
        <v>3</v>
      </c>
      <c r="O1454">
        <v>3</v>
      </c>
      <c r="P1454">
        <v>4</v>
      </c>
      <c r="Q1454">
        <v>0</v>
      </c>
      <c r="R1454">
        <v>44.53</v>
      </c>
      <c r="S1454">
        <v>0</v>
      </c>
      <c r="T1454">
        <v>0</v>
      </c>
      <c r="U1454">
        <v>3</v>
      </c>
      <c r="V1454">
        <v>0</v>
      </c>
      <c r="X1454">
        <v>47.53</v>
      </c>
    </row>
    <row r="1455" spans="1:24" ht="15">
      <c r="A1455">
        <v>1448</v>
      </c>
      <c r="B1455">
        <v>112104</v>
      </c>
      <c r="C1455" t="s">
        <v>1291</v>
      </c>
      <c r="D1455" t="s">
        <v>27</v>
      </c>
      <c r="E1455" t="s">
        <v>124</v>
      </c>
      <c r="F1455" t="str">
        <f>"00332432"</f>
        <v>00332432</v>
      </c>
      <c r="G1455">
        <v>15.53</v>
      </c>
      <c r="H1455">
        <v>0</v>
      </c>
      <c r="I1455">
        <v>0</v>
      </c>
      <c r="J1455">
        <v>20</v>
      </c>
      <c r="K1455">
        <v>20</v>
      </c>
      <c r="M1455">
        <v>5</v>
      </c>
      <c r="N1455">
        <v>3</v>
      </c>
      <c r="O1455">
        <v>8</v>
      </c>
      <c r="P1455">
        <v>4</v>
      </c>
      <c r="Q1455">
        <v>0</v>
      </c>
      <c r="R1455">
        <v>47.53</v>
      </c>
      <c r="S1455">
        <v>0</v>
      </c>
      <c r="T1455">
        <v>0</v>
      </c>
      <c r="U1455">
        <v>0</v>
      </c>
      <c r="V1455">
        <v>0</v>
      </c>
      <c r="X1455">
        <v>47.53</v>
      </c>
    </row>
    <row r="1456" spans="1:24" ht="15">
      <c r="A1456">
        <v>1449</v>
      </c>
      <c r="B1456">
        <v>92844</v>
      </c>
      <c r="C1456" t="s">
        <v>1264</v>
      </c>
      <c r="D1456" t="s">
        <v>875</v>
      </c>
      <c r="E1456" t="s">
        <v>113</v>
      </c>
      <c r="F1456" t="str">
        <f>"00041228"</f>
        <v>00041228</v>
      </c>
      <c r="G1456">
        <v>18.48</v>
      </c>
      <c r="H1456">
        <v>0</v>
      </c>
      <c r="I1456">
        <v>0</v>
      </c>
      <c r="J1456">
        <v>20</v>
      </c>
      <c r="K1456">
        <v>20</v>
      </c>
      <c r="M1456">
        <v>5</v>
      </c>
      <c r="O1456">
        <v>5</v>
      </c>
      <c r="P1456">
        <v>4</v>
      </c>
      <c r="Q1456">
        <v>0</v>
      </c>
      <c r="R1456">
        <v>47.48</v>
      </c>
      <c r="S1456">
        <v>0</v>
      </c>
      <c r="T1456">
        <v>0</v>
      </c>
      <c r="U1456">
        <v>0</v>
      </c>
      <c r="V1456">
        <v>0</v>
      </c>
      <c r="X1456">
        <v>47.48</v>
      </c>
    </row>
    <row r="1457" spans="1:24" ht="15">
      <c r="A1457">
        <v>1450</v>
      </c>
      <c r="B1457">
        <v>73762</v>
      </c>
      <c r="C1457" t="s">
        <v>668</v>
      </c>
      <c r="D1457" t="s">
        <v>333</v>
      </c>
      <c r="E1457" t="s">
        <v>53</v>
      </c>
      <c r="F1457" t="str">
        <f>"00633510"</f>
        <v>00633510</v>
      </c>
      <c r="G1457">
        <v>20.45</v>
      </c>
      <c r="H1457">
        <v>0</v>
      </c>
      <c r="I1457">
        <v>0</v>
      </c>
      <c r="J1457">
        <v>20</v>
      </c>
      <c r="K1457">
        <v>20</v>
      </c>
      <c r="L1457">
        <v>7</v>
      </c>
      <c r="O1457">
        <v>7</v>
      </c>
      <c r="P1457">
        <v>0</v>
      </c>
      <c r="Q1457">
        <v>0</v>
      </c>
      <c r="R1457">
        <v>47.45</v>
      </c>
      <c r="S1457">
        <v>0</v>
      </c>
      <c r="T1457">
        <v>0</v>
      </c>
      <c r="U1457">
        <v>0</v>
      </c>
      <c r="V1457">
        <v>0</v>
      </c>
      <c r="X1457">
        <v>47.45</v>
      </c>
    </row>
    <row r="1458" spans="1:24" ht="15">
      <c r="A1458">
        <v>1451</v>
      </c>
      <c r="B1458">
        <v>16258</v>
      </c>
      <c r="C1458" t="s">
        <v>1295</v>
      </c>
      <c r="D1458" t="s">
        <v>1296</v>
      </c>
      <c r="E1458" t="s">
        <v>30</v>
      </c>
      <c r="F1458" t="str">
        <f>"00144509"</f>
        <v>00144509</v>
      </c>
      <c r="G1458">
        <v>16.43</v>
      </c>
      <c r="H1458">
        <v>0</v>
      </c>
      <c r="I1458">
        <v>0</v>
      </c>
      <c r="J1458">
        <v>20</v>
      </c>
      <c r="K1458">
        <v>20</v>
      </c>
      <c r="L1458">
        <v>7</v>
      </c>
      <c r="O1458">
        <v>7</v>
      </c>
      <c r="P1458">
        <v>4</v>
      </c>
      <c r="Q1458">
        <v>0</v>
      </c>
      <c r="R1458">
        <v>47.43</v>
      </c>
      <c r="S1458">
        <v>0</v>
      </c>
      <c r="T1458">
        <v>0</v>
      </c>
      <c r="U1458">
        <v>0</v>
      </c>
      <c r="V1458">
        <v>0</v>
      </c>
      <c r="X1458">
        <v>47.43</v>
      </c>
    </row>
    <row r="1459" spans="1:24" ht="15">
      <c r="A1459">
        <v>1452</v>
      </c>
      <c r="B1459">
        <v>98713</v>
      </c>
      <c r="C1459" t="s">
        <v>605</v>
      </c>
      <c r="D1459" t="s">
        <v>254</v>
      </c>
      <c r="E1459" t="s">
        <v>12</v>
      </c>
      <c r="F1459" t="str">
        <f>"00640745"</f>
        <v>00640745</v>
      </c>
      <c r="G1459">
        <v>18.3</v>
      </c>
      <c r="H1459">
        <v>0</v>
      </c>
      <c r="I1459">
        <v>0</v>
      </c>
      <c r="J1459">
        <v>20</v>
      </c>
      <c r="K1459">
        <v>20</v>
      </c>
      <c r="M1459">
        <v>5</v>
      </c>
      <c r="O1459">
        <v>5</v>
      </c>
      <c r="P1459">
        <v>4</v>
      </c>
      <c r="Q1459">
        <v>0</v>
      </c>
      <c r="R1459">
        <v>47.3</v>
      </c>
      <c r="S1459">
        <v>0</v>
      </c>
      <c r="T1459">
        <v>0</v>
      </c>
      <c r="U1459">
        <v>0</v>
      </c>
      <c r="V1459">
        <v>0</v>
      </c>
      <c r="X1459">
        <v>47.3</v>
      </c>
    </row>
    <row r="1460" spans="1:24" ht="15">
      <c r="A1460">
        <v>1453</v>
      </c>
      <c r="B1460">
        <v>77281</v>
      </c>
      <c r="C1460" t="s">
        <v>1300</v>
      </c>
      <c r="D1460" t="s">
        <v>1301</v>
      </c>
      <c r="E1460" t="s">
        <v>23</v>
      </c>
      <c r="F1460" t="str">
        <f>"00144686"</f>
        <v>00144686</v>
      </c>
      <c r="G1460">
        <v>19.28</v>
      </c>
      <c r="H1460">
        <v>0</v>
      </c>
      <c r="I1460">
        <v>0</v>
      </c>
      <c r="J1460">
        <v>20</v>
      </c>
      <c r="K1460">
        <v>20</v>
      </c>
      <c r="M1460">
        <v>5</v>
      </c>
      <c r="N1460">
        <v>3</v>
      </c>
      <c r="O1460">
        <v>8</v>
      </c>
      <c r="P1460">
        <v>0</v>
      </c>
      <c r="Q1460">
        <v>0</v>
      </c>
      <c r="R1460">
        <v>47.28</v>
      </c>
      <c r="S1460">
        <v>0</v>
      </c>
      <c r="T1460">
        <v>0</v>
      </c>
      <c r="U1460">
        <v>0</v>
      </c>
      <c r="V1460">
        <v>0</v>
      </c>
      <c r="X1460">
        <v>47.28</v>
      </c>
    </row>
    <row r="1461" spans="1:24" ht="15">
      <c r="A1461">
        <v>1454</v>
      </c>
      <c r="B1461">
        <v>103343</v>
      </c>
      <c r="C1461" t="s">
        <v>1302</v>
      </c>
      <c r="D1461" t="s">
        <v>1303</v>
      </c>
      <c r="E1461" t="s">
        <v>44</v>
      </c>
      <c r="F1461" t="str">
        <f>"00627741"</f>
        <v>00627741</v>
      </c>
      <c r="G1461">
        <v>20.25</v>
      </c>
      <c r="H1461">
        <v>0</v>
      </c>
      <c r="I1461">
        <v>0</v>
      </c>
      <c r="J1461">
        <v>20</v>
      </c>
      <c r="K1461">
        <v>20</v>
      </c>
      <c r="N1461">
        <v>3</v>
      </c>
      <c r="O1461">
        <v>3</v>
      </c>
      <c r="P1461">
        <v>4</v>
      </c>
      <c r="Q1461">
        <v>0</v>
      </c>
      <c r="R1461">
        <v>47.25</v>
      </c>
      <c r="S1461">
        <v>0</v>
      </c>
      <c r="T1461">
        <v>0</v>
      </c>
      <c r="U1461">
        <v>0</v>
      </c>
      <c r="V1461">
        <v>0</v>
      </c>
      <c r="X1461">
        <v>47.25</v>
      </c>
    </row>
    <row r="1462" spans="1:24" ht="15">
      <c r="A1462">
        <v>1455</v>
      </c>
      <c r="B1462">
        <v>90675</v>
      </c>
      <c r="C1462" t="s">
        <v>1304</v>
      </c>
      <c r="D1462" t="s">
        <v>29</v>
      </c>
      <c r="E1462" t="s">
        <v>76</v>
      </c>
      <c r="F1462" t="str">
        <f>"00166179"</f>
        <v>00166179</v>
      </c>
      <c r="G1462">
        <v>17.25</v>
      </c>
      <c r="H1462">
        <v>0</v>
      </c>
      <c r="I1462">
        <v>0</v>
      </c>
      <c r="J1462">
        <v>20</v>
      </c>
      <c r="K1462">
        <v>20</v>
      </c>
      <c r="L1462">
        <v>7</v>
      </c>
      <c r="N1462">
        <v>3</v>
      </c>
      <c r="O1462">
        <v>10</v>
      </c>
      <c r="P1462">
        <v>0</v>
      </c>
      <c r="Q1462">
        <v>0</v>
      </c>
      <c r="R1462">
        <v>47.25</v>
      </c>
      <c r="S1462">
        <v>0</v>
      </c>
      <c r="T1462">
        <v>0</v>
      </c>
      <c r="U1462">
        <v>0</v>
      </c>
      <c r="V1462">
        <v>0</v>
      </c>
      <c r="X1462">
        <v>47.25</v>
      </c>
    </row>
    <row r="1463" spans="1:24" ht="15">
      <c r="A1463">
        <v>1456</v>
      </c>
      <c r="B1463">
        <v>89866</v>
      </c>
      <c r="C1463" t="s">
        <v>1305</v>
      </c>
      <c r="D1463" t="s">
        <v>370</v>
      </c>
      <c r="E1463" t="s">
        <v>30</v>
      </c>
      <c r="F1463" t="str">
        <f>"00599412"</f>
        <v>00599412</v>
      </c>
      <c r="G1463">
        <v>16.25</v>
      </c>
      <c r="H1463">
        <v>0</v>
      </c>
      <c r="I1463">
        <v>0</v>
      </c>
      <c r="J1463">
        <v>20</v>
      </c>
      <c r="K1463">
        <v>20</v>
      </c>
      <c r="L1463">
        <v>7</v>
      </c>
      <c r="O1463">
        <v>7</v>
      </c>
      <c r="P1463">
        <v>4</v>
      </c>
      <c r="Q1463">
        <v>0</v>
      </c>
      <c r="R1463">
        <v>47.25</v>
      </c>
      <c r="S1463">
        <v>0</v>
      </c>
      <c r="T1463">
        <v>0</v>
      </c>
      <c r="U1463">
        <v>0</v>
      </c>
      <c r="V1463">
        <v>0</v>
      </c>
      <c r="X1463">
        <v>47.25</v>
      </c>
    </row>
    <row r="1464" spans="1:24" ht="15">
      <c r="A1464">
        <v>1457</v>
      </c>
      <c r="B1464">
        <v>30443</v>
      </c>
      <c r="C1464" t="s">
        <v>1306</v>
      </c>
      <c r="D1464" t="s">
        <v>88</v>
      </c>
      <c r="E1464" t="s">
        <v>106</v>
      </c>
      <c r="F1464" t="str">
        <f>"00361931"</f>
        <v>00361931</v>
      </c>
      <c r="G1464">
        <v>16.23</v>
      </c>
      <c r="H1464">
        <v>0</v>
      </c>
      <c r="I1464">
        <v>0</v>
      </c>
      <c r="J1464">
        <v>20</v>
      </c>
      <c r="K1464">
        <v>20</v>
      </c>
      <c r="L1464">
        <v>7</v>
      </c>
      <c r="O1464">
        <v>7</v>
      </c>
      <c r="P1464">
        <v>4</v>
      </c>
      <c r="Q1464">
        <v>0</v>
      </c>
      <c r="R1464">
        <v>47.23</v>
      </c>
      <c r="S1464">
        <v>0</v>
      </c>
      <c r="T1464">
        <v>0</v>
      </c>
      <c r="U1464">
        <v>0</v>
      </c>
      <c r="V1464">
        <v>0</v>
      </c>
      <c r="X1464">
        <v>47.23</v>
      </c>
    </row>
    <row r="1465" spans="1:24" ht="15">
      <c r="A1465">
        <v>1458</v>
      </c>
      <c r="B1465">
        <v>67498</v>
      </c>
      <c r="C1465" t="s">
        <v>1307</v>
      </c>
      <c r="D1465" t="s">
        <v>122</v>
      </c>
      <c r="E1465" t="s">
        <v>507</v>
      </c>
      <c r="F1465" t="str">
        <f>"00273164"</f>
        <v>00273164</v>
      </c>
      <c r="G1465">
        <v>18.18</v>
      </c>
      <c r="H1465">
        <v>0</v>
      </c>
      <c r="I1465">
        <v>0</v>
      </c>
      <c r="J1465">
        <v>20</v>
      </c>
      <c r="K1465">
        <v>20</v>
      </c>
      <c r="M1465">
        <v>5</v>
      </c>
      <c r="O1465">
        <v>5</v>
      </c>
      <c r="P1465">
        <v>4</v>
      </c>
      <c r="Q1465">
        <v>0</v>
      </c>
      <c r="R1465">
        <v>47.18</v>
      </c>
      <c r="S1465">
        <v>0</v>
      </c>
      <c r="T1465">
        <v>0</v>
      </c>
      <c r="U1465">
        <v>0</v>
      </c>
      <c r="V1465">
        <v>0</v>
      </c>
      <c r="X1465">
        <v>47.18</v>
      </c>
    </row>
    <row r="1466" spans="1:24" ht="15">
      <c r="A1466">
        <v>1459</v>
      </c>
      <c r="B1466">
        <v>64985</v>
      </c>
      <c r="C1466" t="s">
        <v>1310</v>
      </c>
      <c r="D1466" t="s">
        <v>318</v>
      </c>
      <c r="E1466" t="s">
        <v>17</v>
      </c>
      <c r="F1466" t="str">
        <f>"00329947"</f>
        <v>00329947</v>
      </c>
      <c r="G1466">
        <v>16.35</v>
      </c>
      <c r="H1466">
        <v>0</v>
      </c>
      <c r="I1466">
        <v>0</v>
      </c>
      <c r="J1466">
        <v>0</v>
      </c>
      <c r="K1466">
        <v>0</v>
      </c>
      <c r="O1466">
        <v>0</v>
      </c>
      <c r="P1466">
        <v>4</v>
      </c>
      <c r="Q1466">
        <v>0</v>
      </c>
      <c r="R1466">
        <v>20.35</v>
      </c>
      <c r="S1466">
        <v>0</v>
      </c>
      <c r="T1466">
        <v>0</v>
      </c>
      <c r="U1466">
        <v>0</v>
      </c>
      <c r="V1466">
        <v>26.8</v>
      </c>
      <c r="X1466">
        <v>47.15</v>
      </c>
    </row>
    <row r="1467" spans="1:24" ht="15">
      <c r="A1467">
        <v>1460</v>
      </c>
      <c r="B1467">
        <v>111373</v>
      </c>
      <c r="C1467" t="s">
        <v>1312</v>
      </c>
      <c r="D1467" t="s">
        <v>442</v>
      </c>
      <c r="E1467" t="s">
        <v>111</v>
      </c>
      <c r="F1467" t="str">
        <f>"201410012518"</f>
        <v>201410012518</v>
      </c>
      <c r="G1467">
        <v>16.1</v>
      </c>
      <c r="H1467">
        <v>7</v>
      </c>
      <c r="I1467">
        <v>0</v>
      </c>
      <c r="J1467">
        <v>20</v>
      </c>
      <c r="K1467">
        <v>20</v>
      </c>
      <c r="O1467">
        <v>0</v>
      </c>
      <c r="P1467">
        <v>4</v>
      </c>
      <c r="Q1467">
        <v>0</v>
      </c>
      <c r="R1467">
        <v>47.1</v>
      </c>
      <c r="S1467">
        <v>0</v>
      </c>
      <c r="T1467">
        <v>0</v>
      </c>
      <c r="U1467">
        <v>0</v>
      </c>
      <c r="V1467">
        <v>0</v>
      </c>
      <c r="X1467">
        <v>47.1</v>
      </c>
    </row>
    <row r="1468" spans="1:24" ht="15">
      <c r="A1468">
        <v>1461</v>
      </c>
      <c r="B1468">
        <v>86952</v>
      </c>
      <c r="C1468" t="s">
        <v>596</v>
      </c>
      <c r="D1468" t="s">
        <v>236</v>
      </c>
      <c r="E1468" t="s">
        <v>12</v>
      </c>
      <c r="F1468" t="str">
        <f>"00648502"</f>
        <v>00648502</v>
      </c>
      <c r="G1468">
        <v>22.08</v>
      </c>
      <c r="H1468">
        <v>0</v>
      </c>
      <c r="I1468">
        <v>0</v>
      </c>
      <c r="J1468">
        <v>20</v>
      </c>
      <c r="K1468">
        <v>20</v>
      </c>
      <c r="M1468">
        <v>5</v>
      </c>
      <c r="O1468">
        <v>5</v>
      </c>
      <c r="P1468">
        <v>0</v>
      </c>
      <c r="Q1468">
        <v>0</v>
      </c>
      <c r="R1468">
        <v>47.08</v>
      </c>
      <c r="S1468">
        <v>0</v>
      </c>
      <c r="T1468">
        <v>0</v>
      </c>
      <c r="U1468">
        <v>0</v>
      </c>
      <c r="V1468">
        <v>0</v>
      </c>
      <c r="X1468">
        <v>47.08</v>
      </c>
    </row>
    <row r="1469" spans="1:24" ht="15">
      <c r="A1469">
        <v>1462</v>
      </c>
      <c r="B1469">
        <v>67128</v>
      </c>
      <c r="C1469" t="s">
        <v>1313</v>
      </c>
      <c r="D1469" t="s">
        <v>27</v>
      </c>
      <c r="E1469" t="s">
        <v>21</v>
      </c>
      <c r="F1469" t="str">
        <f>"00007454"</f>
        <v>00007454</v>
      </c>
      <c r="G1469">
        <v>18.08</v>
      </c>
      <c r="H1469">
        <v>0</v>
      </c>
      <c r="I1469">
        <v>0</v>
      </c>
      <c r="J1469">
        <v>20</v>
      </c>
      <c r="K1469">
        <v>20</v>
      </c>
      <c r="N1469">
        <v>3</v>
      </c>
      <c r="O1469">
        <v>3</v>
      </c>
      <c r="P1469">
        <v>4</v>
      </c>
      <c r="Q1469">
        <v>2</v>
      </c>
      <c r="R1469">
        <v>47.08</v>
      </c>
      <c r="S1469">
        <v>0</v>
      </c>
      <c r="T1469">
        <v>0</v>
      </c>
      <c r="U1469">
        <v>0</v>
      </c>
      <c r="V1469">
        <v>0</v>
      </c>
      <c r="X1469">
        <v>47.08</v>
      </c>
    </row>
    <row r="1470" spans="1:24" ht="15">
      <c r="A1470">
        <v>1463</v>
      </c>
      <c r="B1470">
        <v>89687</v>
      </c>
      <c r="C1470" t="s">
        <v>1315</v>
      </c>
      <c r="D1470" t="s">
        <v>106</v>
      </c>
      <c r="E1470" t="s">
        <v>27</v>
      </c>
      <c r="F1470" t="str">
        <f>"201406004717"</f>
        <v>201406004717</v>
      </c>
      <c r="G1470">
        <v>20.05</v>
      </c>
      <c r="H1470">
        <v>0</v>
      </c>
      <c r="I1470">
        <v>0</v>
      </c>
      <c r="J1470">
        <v>20</v>
      </c>
      <c r="K1470">
        <v>20</v>
      </c>
      <c r="N1470">
        <v>3</v>
      </c>
      <c r="O1470">
        <v>3</v>
      </c>
      <c r="P1470">
        <v>4</v>
      </c>
      <c r="Q1470">
        <v>0</v>
      </c>
      <c r="R1470">
        <v>47.05</v>
      </c>
      <c r="S1470">
        <v>0</v>
      </c>
      <c r="T1470">
        <v>0</v>
      </c>
      <c r="U1470">
        <v>0</v>
      </c>
      <c r="V1470">
        <v>0</v>
      </c>
      <c r="X1470">
        <v>47.05</v>
      </c>
    </row>
    <row r="1471" spans="1:24" ht="15">
      <c r="A1471">
        <v>1464</v>
      </c>
      <c r="B1471">
        <v>74348</v>
      </c>
      <c r="C1471" t="s">
        <v>1056</v>
      </c>
      <c r="D1471" t="s">
        <v>153</v>
      </c>
      <c r="E1471" t="s">
        <v>124</v>
      </c>
      <c r="F1471" t="str">
        <f>"00139562"</f>
        <v>00139562</v>
      </c>
      <c r="G1471">
        <v>17.03</v>
      </c>
      <c r="H1471">
        <v>0</v>
      </c>
      <c r="I1471">
        <v>0</v>
      </c>
      <c r="J1471">
        <v>20</v>
      </c>
      <c r="K1471">
        <v>20</v>
      </c>
      <c r="N1471">
        <v>6</v>
      </c>
      <c r="O1471">
        <v>6</v>
      </c>
      <c r="P1471">
        <v>4</v>
      </c>
      <c r="Q1471">
        <v>0</v>
      </c>
      <c r="R1471">
        <v>47.03</v>
      </c>
      <c r="S1471">
        <v>0</v>
      </c>
      <c r="T1471">
        <v>0</v>
      </c>
      <c r="U1471">
        <v>0</v>
      </c>
      <c r="V1471">
        <v>0</v>
      </c>
      <c r="X1471">
        <v>47.03</v>
      </c>
    </row>
    <row r="1472" spans="1:24" ht="15">
      <c r="A1472">
        <v>1465</v>
      </c>
      <c r="B1472">
        <v>105404</v>
      </c>
      <c r="C1472" t="s">
        <v>1319</v>
      </c>
      <c r="D1472" t="s">
        <v>513</v>
      </c>
      <c r="E1472" t="s">
        <v>17</v>
      </c>
      <c r="F1472" t="str">
        <f>"00644683"</f>
        <v>00644683</v>
      </c>
      <c r="G1472">
        <v>15.93</v>
      </c>
      <c r="H1472">
        <v>0</v>
      </c>
      <c r="I1472">
        <v>0</v>
      </c>
      <c r="J1472">
        <v>20</v>
      </c>
      <c r="K1472">
        <v>20</v>
      </c>
      <c r="L1472">
        <v>7</v>
      </c>
      <c r="O1472">
        <v>7</v>
      </c>
      <c r="P1472">
        <v>4</v>
      </c>
      <c r="Q1472">
        <v>0</v>
      </c>
      <c r="R1472">
        <v>46.93</v>
      </c>
      <c r="S1472">
        <v>0</v>
      </c>
      <c r="T1472">
        <v>0</v>
      </c>
      <c r="U1472">
        <v>0</v>
      </c>
      <c r="V1472">
        <v>0</v>
      </c>
      <c r="X1472">
        <v>46.93</v>
      </c>
    </row>
    <row r="1473" spans="1:24" ht="15">
      <c r="A1473">
        <v>1466</v>
      </c>
      <c r="B1473">
        <v>76601</v>
      </c>
      <c r="C1473" t="s">
        <v>1320</v>
      </c>
      <c r="D1473" t="s">
        <v>153</v>
      </c>
      <c r="E1473" t="s">
        <v>80</v>
      </c>
      <c r="F1473" t="str">
        <f>"00234823"</f>
        <v>00234823</v>
      </c>
      <c r="G1473">
        <v>15.93</v>
      </c>
      <c r="H1473">
        <v>0</v>
      </c>
      <c r="I1473">
        <v>0</v>
      </c>
      <c r="J1473">
        <v>20</v>
      </c>
      <c r="K1473">
        <v>20</v>
      </c>
      <c r="L1473">
        <v>7</v>
      </c>
      <c r="O1473">
        <v>7</v>
      </c>
      <c r="P1473">
        <v>4</v>
      </c>
      <c r="Q1473">
        <v>0</v>
      </c>
      <c r="R1473">
        <v>46.93</v>
      </c>
      <c r="S1473">
        <v>0</v>
      </c>
      <c r="T1473">
        <v>0</v>
      </c>
      <c r="U1473">
        <v>0</v>
      </c>
      <c r="V1473">
        <v>0</v>
      </c>
      <c r="X1473">
        <v>46.93</v>
      </c>
    </row>
    <row r="1474" spans="1:24" ht="15">
      <c r="A1474">
        <v>1467</v>
      </c>
      <c r="B1474">
        <v>111391</v>
      </c>
      <c r="C1474" t="s">
        <v>1321</v>
      </c>
      <c r="D1474" t="s">
        <v>363</v>
      </c>
      <c r="E1474" t="s">
        <v>391</v>
      </c>
      <c r="F1474" t="str">
        <f>"00185742"</f>
        <v>00185742</v>
      </c>
      <c r="G1474">
        <v>16.9</v>
      </c>
      <c r="H1474">
        <v>0</v>
      </c>
      <c r="I1474">
        <v>0</v>
      </c>
      <c r="J1474">
        <v>20</v>
      </c>
      <c r="K1474">
        <v>20</v>
      </c>
      <c r="N1474">
        <v>3</v>
      </c>
      <c r="O1474">
        <v>3</v>
      </c>
      <c r="P1474">
        <v>4</v>
      </c>
      <c r="Q1474">
        <v>0</v>
      </c>
      <c r="R1474">
        <v>43.9</v>
      </c>
      <c r="S1474">
        <v>0</v>
      </c>
      <c r="T1474">
        <v>0</v>
      </c>
      <c r="U1474">
        <v>3</v>
      </c>
      <c r="V1474">
        <v>0</v>
      </c>
      <c r="X1474">
        <v>46.9</v>
      </c>
    </row>
    <row r="1475" spans="1:24" ht="15">
      <c r="A1475">
        <v>1468</v>
      </c>
      <c r="B1475">
        <v>22720</v>
      </c>
      <c r="C1475" t="s">
        <v>1324</v>
      </c>
      <c r="D1475" t="s">
        <v>27</v>
      </c>
      <c r="E1475" t="s">
        <v>124</v>
      </c>
      <c r="F1475" t="str">
        <f>"00222040"</f>
        <v>00222040</v>
      </c>
      <c r="G1475">
        <v>16.83</v>
      </c>
      <c r="H1475">
        <v>0</v>
      </c>
      <c r="I1475">
        <v>0</v>
      </c>
      <c r="J1475">
        <v>20</v>
      </c>
      <c r="K1475">
        <v>20</v>
      </c>
      <c r="N1475">
        <v>3</v>
      </c>
      <c r="O1475">
        <v>3</v>
      </c>
      <c r="P1475">
        <v>4</v>
      </c>
      <c r="Q1475">
        <v>0</v>
      </c>
      <c r="R1475">
        <v>43.83</v>
      </c>
      <c r="S1475">
        <v>0</v>
      </c>
      <c r="T1475">
        <v>0</v>
      </c>
      <c r="U1475">
        <v>3</v>
      </c>
      <c r="V1475">
        <v>0</v>
      </c>
      <c r="X1475">
        <v>46.83</v>
      </c>
    </row>
    <row r="1476" spans="1:24" ht="15">
      <c r="A1476">
        <v>1469</v>
      </c>
      <c r="B1476">
        <v>52642</v>
      </c>
      <c r="C1476" t="s">
        <v>1325</v>
      </c>
      <c r="D1476" t="s">
        <v>12</v>
      </c>
      <c r="E1476" t="s">
        <v>30</v>
      </c>
      <c r="F1476" t="str">
        <f>"00610932"</f>
        <v>00610932</v>
      </c>
      <c r="G1476">
        <v>17.78</v>
      </c>
      <c r="H1476">
        <v>0</v>
      </c>
      <c r="I1476">
        <v>0</v>
      </c>
      <c r="J1476">
        <v>20</v>
      </c>
      <c r="K1476">
        <v>20</v>
      </c>
      <c r="M1476">
        <v>5</v>
      </c>
      <c r="O1476">
        <v>5</v>
      </c>
      <c r="P1476">
        <v>4</v>
      </c>
      <c r="Q1476">
        <v>0</v>
      </c>
      <c r="R1476">
        <v>46.78</v>
      </c>
      <c r="S1476">
        <v>0</v>
      </c>
      <c r="T1476">
        <v>0</v>
      </c>
      <c r="U1476">
        <v>0</v>
      </c>
      <c r="V1476">
        <v>0</v>
      </c>
      <c r="X1476">
        <v>46.78</v>
      </c>
    </row>
    <row r="1477" spans="1:24" ht="15">
      <c r="A1477">
        <v>1470</v>
      </c>
      <c r="B1477">
        <v>5528</v>
      </c>
      <c r="C1477" t="s">
        <v>1328</v>
      </c>
      <c r="D1477" t="s">
        <v>29</v>
      </c>
      <c r="E1477" t="s">
        <v>204</v>
      </c>
      <c r="F1477" t="str">
        <f>"00570745"</f>
        <v>00570745</v>
      </c>
      <c r="G1477">
        <v>17.75</v>
      </c>
      <c r="H1477">
        <v>0</v>
      </c>
      <c r="I1477">
        <v>0</v>
      </c>
      <c r="J1477">
        <v>20</v>
      </c>
      <c r="K1477">
        <v>20</v>
      </c>
      <c r="N1477">
        <v>3</v>
      </c>
      <c r="O1477">
        <v>3</v>
      </c>
      <c r="P1477">
        <v>4</v>
      </c>
      <c r="Q1477">
        <v>2</v>
      </c>
      <c r="R1477">
        <v>46.75</v>
      </c>
      <c r="S1477">
        <v>0</v>
      </c>
      <c r="T1477">
        <v>0</v>
      </c>
      <c r="U1477">
        <v>0</v>
      </c>
      <c r="V1477">
        <v>0</v>
      </c>
      <c r="X1477">
        <v>46.75</v>
      </c>
    </row>
    <row r="1478" spans="1:24" ht="15">
      <c r="A1478">
        <v>1471</v>
      </c>
      <c r="B1478">
        <v>7681</v>
      </c>
      <c r="C1478" t="s">
        <v>1329</v>
      </c>
      <c r="D1478" t="s">
        <v>1330</v>
      </c>
      <c r="E1478" t="s">
        <v>30</v>
      </c>
      <c r="F1478" t="str">
        <f>"00432722"</f>
        <v>00432722</v>
      </c>
      <c r="G1478">
        <v>15.73</v>
      </c>
      <c r="H1478">
        <v>0</v>
      </c>
      <c r="I1478">
        <v>0</v>
      </c>
      <c r="J1478">
        <v>20</v>
      </c>
      <c r="K1478">
        <v>20</v>
      </c>
      <c r="L1478">
        <v>7</v>
      </c>
      <c r="O1478">
        <v>7</v>
      </c>
      <c r="P1478">
        <v>4</v>
      </c>
      <c r="Q1478">
        <v>0</v>
      </c>
      <c r="R1478">
        <v>46.73</v>
      </c>
      <c r="S1478">
        <v>0</v>
      </c>
      <c r="T1478">
        <v>0</v>
      </c>
      <c r="U1478">
        <v>0</v>
      </c>
      <c r="V1478">
        <v>0</v>
      </c>
      <c r="X1478">
        <v>46.73</v>
      </c>
    </row>
    <row r="1479" spans="1:24" ht="15">
      <c r="A1479">
        <v>1472</v>
      </c>
      <c r="B1479">
        <v>53714</v>
      </c>
      <c r="C1479" t="s">
        <v>1331</v>
      </c>
      <c r="D1479" t="s">
        <v>135</v>
      </c>
      <c r="E1479" t="s">
        <v>12</v>
      </c>
      <c r="F1479" t="str">
        <f>"00620756"</f>
        <v>00620756</v>
      </c>
      <c r="G1479">
        <v>16.7</v>
      </c>
      <c r="H1479">
        <v>0</v>
      </c>
      <c r="I1479">
        <v>0</v>
      </c>
      <c r="J1479">
        <v>20</v>
      </c>
      <c r="K1479">
        <v>20</v>
      </c>
      <c r="N1479">
        <v>3</v>
      </c>
      <c r="O1479">
        <v>3</v>
      </c>
      <c r="P1479">
        <v>4</v>
      </c>
      <c r="Q1479">
        <v>0</v>
      </c>
      <c r="R1479">
        <v>43.7</v>
      </c>
      <c r="S1479">
        <v>0</v>
      </c>
      <c r="T1479">
        <v>0</v>
      </c>
      <c r="U1479">
        <v>3</v>
      </c>
      <c r="V1479">
        <v>0</v>
      </c>
      <c r="X1479">
        <v>46.7</v>
      </c>
    </row>
    <row r="1480" spans="1:24" ht="15">
      <c r="A1480">
        <v>1473</v>
      </c>
      <c r="B1480">
        <v>95940</v>
      </c>
      <c r="C1480" t="s">
        <v>1332</v>
      </c>
      <c r="D1480" t="s">
        <v>1333</v>
      </c>
      <c r="E1480" t="s">
        <v>27</v>
      </c>
      <c r="F1480" t="str">
        <f>"00639107"</f>
        <v>00639107</v>
      </c>
      <c r="G1480">
        <v>17.68</v>
      </c>
      <c r="H1480">
        <v>0</v>
      </c>
      <c r="I1480">
        <v>0</v>
      </c>
      <c r="J1480">
        <v>20</v>
      </c>
      <c r="K1480">
        <v>20</v>
      </c>
      <c r="M1480">
        <v>5</v>
      </c>
      <c r="O1480">
        <v>5</v>
      </c>
      <c r="P1480">
        <v>4</v>
      </c>
      <c r="Q1480">
        <v>0</v>
      </c>
      <c r="R1480">
        <v>46.68</v>
      </c>
      <c r="S1480">
        <v>0</v>
      </c>
      <c r="T1480">
        <v>0</v>
      </c>
      <c r="U1480">
        <v>0</v>
      </c>
      <c r="V1480">
        <v>0</v>
      </c>
      <c r="X1480">
        <v>46.68</v>
      </c>
    </row>
    <row r="1481" spans="1:24" ht="15">
      <c r="A1481">
        <v>1474</v>
      </c>
      <c r="B1481">
        <v>100548</v>
      </c>
      <c r="C1481" t="s">
        <v>1335</v>
      </c>
      <c r="D1481" t="s">
        <v>158</v>
      </c>
      <c r="E1481" t="s">
        <v>111</v>
      </c>
      <c r="F1481" t="str">
        <f>"200802000279"</f>
        <v>200802000279</v>
      </c>
      <c r="G1481">
        <v>19.58</v>
      </c>
      <c r="H1481">
        <v>0</v>
      </c>
      <c r="I1481">
        <v>0</v>
      </c>
      <c r="J1481">
        <v>20</v>
      </c>
      <c r="K1481">
        <v>20</v>
      </c>
      <c r="L1481">
        <v>7</v>
      </c>
      <c r="O1481">
        <v>7</v>
      </c>
      <c r="P1481">
        <v>0</v>
      </c>
      <c r="Q1481">
        <v>0</v>
      </c>
      <c r="R1481">
        <v>46.58</v>
      </c>
      <c r="S1481">
        <v>0</v>
      </c>
      <c r="T1481">
        <v>0</v>
      </c>
      <c r="U1481">
        <v>0</v>
      </c>
      <c r="V1481">
        <v>0</v>
      </c>
      <c r="X1481">
        <v>46.58</v>
      </c>
    </row>
    <row r="1482" spans="1:24" ht="15">
      <c r="A1482">
        <v>1475</v>
      </c>
      <c r="B1482">
        <v>28354</v>
      </c>
      <c r="C1482" t="s">
        <v>1338</v>
      </c>
      <c r="D1482" t="s">
        <v>12</v>
      </c>
      <c r="E1482" t="s">
        <v>289</v>
      </c>
      <c r="F1482" t="str">
        <f>"00625458"</f>
        <v>00625458</v>
      </c>
      <c r="G1482">
        <v>16.43</v>
      </c>
      <c r="H1482">
        <v>0</v>
      </c>
      <c r="I1482">
        <v>0</v>
      </c>
      <c r="J1482">
        <v>20</v>
      </c>
      <c r="K1482">
        <v>20</v>
      </c>
      <c r="O1482">
        <v>0</v>
      </c>
      <c r="P1482">
        <v>4</v>
      </c>
      <c r="Q1482">
        <v>0</v>
      </c>
      <c r="R1482">
        <v>40.43</v>
      </c>
      <c r="S1482">
        <v>0</v>
      </c>
      <c r="T1482">
        <v>0</v>
      </c>
      <c r="U1482">
        <v>6</v>
      </c>
      <c r="V1482">
        <v>0</v>
      </c>
      <c r="X1482">
        <v>46.43</v>
      </c>
    </row>
    <row r="1483" spans="1:24" ht="15">
      <c r="A1483">
        <v>1476</v>
      </c>
      <c r="B1483">
        <v>52671</v>
      </c>
      <c r="C1483" t="s">
        <v>1340</v>
      </c>
      <c r="D1483" t="s">
        <v>139</v>
      </c>
      <c r="E1483" t="s">
        <v>53</v>
      </c>
      <c r="F1483" t="str">
        <f>"200801000572"</f>
        <v>200801000572</v>
      </c>
      <c r="G1483">
        <v>17.43</v>
      </c>
      <c r="H1483">
        <v>0</v>
      </c>
      <c r="I1483">
        <v>0</v>
      </c>
      <c r="J1483">
        <v>20</v>
      </c>
      <c r="K1483">
        <v>20</v>
      </c>
      <c r="M1483">
        <v>5</v>
      </c>
      <c r="O1483">
        <v>5</v>
      </c>
      <c r="P1483">
        <v>4</v>
      </c>
      <c r="Q1483">
        <v>0</v>
      </c>
      <c r="R1483">
        <v>46.43</v>
      </c>
      <c r="S1483">
        <v>0</v>
      </c>
      <c r="T1483">
        <v>0</v>
      </c>
      <c r="U1483">
        <v>0</v>
      </c>
      <c r="V1483">
        <v>0</v>
      </c>
      <c r="X1483">
        <v>46.43</v>
      </c>
    </row>
    <row r="1484" spans="1:24" ht="15">
      <c r="A1484">
        <v>1477</v>
      </c>
      <c r="B1484">
        <v>52641</v>
      </c>
      <c r="C1484" t="s">
        <v>1341</v>
      </c>
      <c r="D1484" t="s">
        <v>372</v>
      </c>
      <c r="E1484" t="s">
        <v>12</v>
      </c>
      <c r="F1484" t="str">
        <f>"00610907"</f>
        <v>00610907</v>
      </c>
      <c r="G1484">
        <v>17.43</v>
      </c>
      <c r="H1484">
        <v>0</v>
      </c>
      <c r="I1484">
        <v>0</v>
      </c>
      <c r="J1484">
        <v>20</v>
      </c>
      <c r="K1484">
        <v>20</v>
      </c>
      <c r="M1484">
        <v>5</v>
      </c>
      <c r="O1484">
        <v>5</v>
      </c>
      <c r="P1484">
        <v>4</v>
      </c>
      <c r="Q1484">
        <v>0</v>
      </c>
      <c r="R1484">
        <v>46.43</v>
      </c>
      <c r="S1484">
        <v>0</v>
      </c>
      <c r="T1484">
        <v>0</v>
      </c>
      <c r="U1484">
        <v>0</v>
      </c>
      <c r="V1484">
        <v>0</v>
      </c>
      <c r="X1484">
        <v>46.43</v>
      </c>
    </row>
    <row r="1485" spans="1:24" ht="15">
      <c r="A1485">
        <v>1478</v>
      </c>
      <c r="B1485">
        <v>954</v>
      </c>
      <c r="C1485" t="s">
        <v>1343</v>
      </c>
      <c r="D1485" t="s">
        <v>21</v>
      </c>
      <c r="E1485" t="s">
        <v>27</v>
      </c>
      <c r="F1485" t="str">
        <f>"00601090"</f>
        <v>00601090</v>
      </c>
      <c r="G1485">
        <v>17.33</v>
      </c>
      <c r="H1485">
        <v>0</v>
      </c>
      <c r="I1485">
        <v>0</v>
      </c>
      <c r="J1485">
        <v>20</v>
      </c>
      <c r="K1485">
        <v>20</v>
      </c>
      <c r="M1485">
        <v>5</v>
      </c>
      <c r="O1485">
        <v>5</v>
      </c>
      <c r="P1485">
        <v>4</v>
      </c>
      <c r="Q1485">
        <v>0</v>
      </c>
      <c r="R1485">
        <v>46.33</v>
      </c>
      <c r="S1485">
        <v>0</v>
      </c>
      <c r="T1485">
        <v>0</v>
      </c>
      <c r="U1485">
        <v>0</v>
      </c>
      <c r="V1485">
        <v>0</v>
      </c>
      <c r="X1485">
        <v>46.33</v>
      </c>
    </row>
    <row r="1486" spans="1:24" ht="15">
      <c r="A1486">
        <v>1479</v>
      </c>
      <c r="B1486">
        <v>115812</v>
      </c>
      <c r="C1486" t="s">
        <v>1345</v>
      </c>
      <c r="D1486" t="s">
        <v>591</v>
      </c>
      <c r="E1486" t="s">
        <v>23</v>
      </c>
      <c r="F1486" t="str">
        <f>"00433936"</f>
        <v>00433936</v>
      </c>
      <c r="G1486">
        <v>19.23</v>
      </c>
      <c r="H1486">
        <v>0</v>
      </c>
      <c r="I1486">
        <v>0</v>
      </c>
      <c r="J1486">
        <v>20</v>
      </c>
      <c r="K1486">
        <v>20</v>
      </c>
      <c r="N1486">
        <v>3</v>
      </c>
      <c r="O1486">
        <v>3</v>
      </c>
      <c r="P1486">
        <v>4</v>
      </c>
      <c r="Q1486">
        <v>0</v>
      </c>
      <c r="R1486">
        <v>46.23</v>
      </c>
      <c r="S1486">
        <v>0</v>
      </c>
      <c r="T1486">
        <v>0</v>
      </c>
      <c r="U1486">
        <v>0</v>
      </c>
      <c r="V1486">
        <v>0</v>
      </c>
      <c r="X1486">
        <v>46.23</v>
      </c>
    </row>
    <row r="1487" spans="1:24" ht="15">
      <c r="A1487">
        <v>1480</v>
      </c>
      <c r="B1487">
        <v>76661</v>
      </c>
      <c r="C1487" t="s">
        <v>1347</v>
      </c>
      <c r="D1487" t="s">
        <v>80</v>
      </c>
      <c r="E1487" t="s">
        <v>23</v>
      </c>
      <c r="F1487" t="str">
        <f>"201408000148"</f>
        <v>201408000148</v>
      </c>
      <c r="G1487">
        <v>16.2</v>
      </c>
      <c r="H1487">
        <v>0</v>
      </c>
      <c r="I1487">
        <v>0</v>
      </c>
      <c r="J1487">
        <v>20</v>
      </c>
      <c r="K1487">
        <v>20</v>
      </c>
      <c r="O1487">
        <v>0</v>
      </c>
      <c r="P1487">
        <v>4</v>
      </c>
      <c r="Q1487">
        <v>0</v>
      </c>
      <c r="R1487">
        <v>40.2</v>
      </c>
      <c r="S1487">
        <v>0</v>
      </c>
      <c r="T1487">
        <v>0</v>
      </c>
      <c r="U1487">
        <v>6</v>
      </c>
      <c r="V1487">
        <v>0</v>
      </c>
      <c r="X1487">
        <v>46.2</v>
      </c>
    </row>
    <row r="1488" spans="1:24" ht="15">
      <c r="A1488">
        <v>1481</v>
      </c>
      <c r="B1488">
        <v>105456</v>
      </c>
      <c r="C1488" t="s">
        <v>1348</v>
      </c>
      <c r="D1488" t="s">
        <v>1349</v>
      </c>
      <c r="E1488" t="s">
        <v>113</v>
      </c>
      <c r="F1488" t="str">
        <f>"00004462"</f>
        <v>00004462</v>
      </c>
      <c r="G1488">
        <v>17.15</v>
      </c>
      <c r="H1488">
        <v>0</v>
      </c>
      <c r="I1488">
        <v>0</v>
      </c>
      <c r="J1488">
        <v>20</v>
      </c>
      <c r="K1488">
        <v>20</v>
      </c>
      <c r="M1488">
        <v>5</v>
      </c>
      <c r="O1488">
        <v>5</v>
      </c>
      <c r="P1488">
        <v>4</v>
      </c>
      <c r="Q1488">
        <v>0</v>
      </c>
      <c r="R1488">
        <v>46.15</v>
      </c>
      <c r="S1488">
        <v>0</v>
      </c>
      <c r="T1488">
        <v>0</v>
      </c>
      <c r="U1488">
        <v>0</v>
      </c>
      <c r="V1488">
        <v>0</v>
      </c>
      <c r="X1488">
        <v>46.15</v>
      </c>
    </row>
    <row r="1489" spans="1:24" ht="15">
      <c r="A1489">
        <v>1482</v>
      </c>
      <c r="B1489">
        <v>5965</v>
      </c>
      <c r="C1489" t="s">
        <v>1350</v>
      </c>
      <c r="D1489" t="s">
        <v>1351</v>
      </c>
      <c r="E1489" t="s">
        <v>120</v>
      </c>
      <c r="F1489" t="str">
        <f>"201511040310"</f>
        <v>201511040310</v>
      </c>
      <c r="G1489">
        <v>19.13</v>
      </c>
      <c r="H1489">
        <v>0</v>
      </c>
      <c r="I1489">
        <v>0</v>
      </c>
      <c r="J1489">
        <v>20</v>
      </c>
      <c r="K1489">
        <v>20</v>
      </c>
      <c r="O1489">
        <v>0</v>
      </c>
      <c r="P1489">
        <v>4</v>
      </c>
      <c r="Q1489">
        <v>0</v>
      </c>
      <c r="R1489">
        <v>43.13</v>
      </c>
      <c r="S1489">
        <v>0</v>
      </c>
      <c r="T1489">
        <v>0</v>
      </c>
      <c r="U1489">
        <v>3</v>
      </c>
      <c r="V1489">
        <v>0</v>
      </c>
      <c r="X1489">
        <v>46.13</v>
      </c>
    </row>
    <row r="1490" spans="1:24" ht="15">
      <c r="A1490">
        <v>1483</v>
      </c>
      <c r="B1490">
        <v>76525</v>
      </c>
      <c r="C1490" t="s">
        <v>429</v>
      </c>
      <c r="D1490" t="s">
        <v>135</v>
      </c>
      <c r="E1490" t="s">
        <v>13</v>
      </c>
      <c r="F1490" t="str">
        <f>"201410001675"</f>
        <v>201410001675</v>
      </c>
      <c r="G1490">
        <v>17.1</v>
      </c>
      <c r="H1490">
        <v>0</v>
      </c>
      <c r="I1490">
        <v>0</v>
      </c>
      <c r="J1490">
        <v>20</v>
      </c>
      <c r="K1490">
        <v>20</v>
      </c>
      <c r="N1490">
        <v>6</v>
      </c>
      <c r="O1490">
        <v>6</v>
      </c>
      <c r="P1490">
        <v>0</v>
      </c>
      <c r="Q1490">
        <v>0</v>
      </c>
      <c r="R1490">
        <v>43.1</v>
      </c>
      <c r="S1490">
        <v>0</v>
      </c>
      <c r="T1490">
        <v>0</v>
      </c>
      <c r="U1490">
        <v>3</v>
      </c>
      <c r="V1490">
        <v>0</v>
      </c>
      <c r="X1490">
        <v>46.1</v>
      </c>
    </row>
    <row r="1491" spans="1:24" ht="15">
      <c r="A1491">
        <v>1484</v>
      </c>
      <c r="B1491">
        <v>16233</v>
      </c>
      <c r="C1491" t="s">
        <v>1352</v>
      </c>
      <c r="D1491" t="s">
        <v>683</v>
      </c>
      <c r="E1491" t="s">
        <v>135</v>
      </c>
      <c r="F1491" t="str">
        <f>"00306870"</f>
        <v>00306870</v>
      </c>
      <c r="G1491">
        <v>16.05</v>
      </c>
      <c r="H1491">
        <v>0</v>
      </c>
      <c r="I1491">
        <v>0</v>
      </c>
      <c r="J1491">
        <v>20</v>
      </c>
      <c r="K1491">
        <v>20</v>
      </c>
      <c r="N1491">
        <v>6</v>
      </c>
      <c r="O1491">
        <v>6</v>
      </c>
      <c r="P1491">
        <v>4</v>
      </c>
      <c r="Q1491">
        <v>0</v>
      </c>
      <c r="R1491">
        <v>46.05</v>
      </c>
      <c r="S1491">
        <v>0</v>
      </c>
      <c r="T1491">
        <v>0</v>
      </c>
      <c r="U1491">
        <v>0</v>
      </c>
      <c r="V1491">
        <v>0</v>
      </c>
      <c r="X1491">
        <v>46.05</v>
      </c>
    </row>
    <row r="1492" spans="1:24" ht="15">
      <c r="A1492">
        <v>1485</v>
      </c>
      <c r="B1492">
        <v>61556</v>
      </c>
      <c r="C1492" t="s">
        <v>1354</v>
      </c>
      <c r="D1492" t="s">
        <v>439</v>
      </c>
      <c r="E1492" t="s">
        <v>106</v>
      </c>
      <c r="F1492" t="str">
        <f>"00092354"</f>
        <v>00092354</v>
      </c>
      <c r="G1492">
        <v>18.93</v>
      </c>
      <c r="H1492">
        <v>0</v>
      </c>
      <c r="I1492">
        <v>0</v>
      </c>
      <c r="J1492">
        <v>20</v>
      </c>
      <c r="K1492">
        <v>20</v>
      </c>
      <c r="N1492">
        <v>3</v>
      </c>
      <c r="O1492">
        <v>3</v>
      </c>
      <c r="P1492">
        <v>4</v>
      </c>
      <c r="Q1492">
        <v>0</v>
      </c>
      <c r="R1492">
        <v>45.93</v>
      </c>
      <c r="S1492">
        <v>0</v>
      </c>
      <c r="T1492">
        <v>0</v>
      </c>
      <c r="U1492">
        <v>0</v>
      </c>
      <c r="V1492">
        <v>0</v>
      </c>
      <c r="X1492">
        <v>45.93</v>
      </c>
    </row>
    <row r="1493" spans="1:24" ht="15">
      <c r="A1493">
        <v>1486</v>
      </c>
      <c r="B1493">
        <v>34250</v>
      </c>
      <c r="C1493" t="s">
        <v>1356</v>
      </c>
      <c r="D1493" t="s">
        <v>29</v>
      </c>
      <c r="E1493" t="s">
        <v>27</v>
      </c>
      <c r="F1493" t="str">
        <f>"00161959"</f>
        <v>00161959</v>
      </c>
      <c r="G1493">
        <v>14.88</v>
      </c>
      <c r="H1493">
        <v>0</v>
      </c>
      <c r="I1493">
        <v>0</v>
      </c>
      <c r="J1493">
        <v>20</v>
      </c>
      <c r="K1493">
        <v>20</v>
      </c>
      <c r="L1493">
        <v>7</v>
      </c>
      <c r="O1493">
        <v>7</v>
      </c>
      <c r="P1493">
        <v>4</v>
      </c>
      <c r="Q1493">
        <v>0</v>
      </c>
      <c r="R1493">
        <v>45.88</v>
      </c>
      <c r="S1493">
        <v>0</v>
      </c>
      <c r="T1493">
        <v>0</v>
      </c>
      <c r="U1493">
        <v>0</v>
      </c>
      <c r="V1493">
        <v>0</v>
      </c>
      <c r="X1493">
        <v>45.88</v>
      </c>
    </row>
    <row r="1494" spans="1:24" ht="15">
      <c r="A1494">
        <v>1487</v>
      </c>
      <c r="B1494">
        <v>19829</v>
      </c>
      <c r="C1494" t="s">
        <v>1357</v>
      </c>
      <c r="D1494" t="s">
        <v>296</v>
      </c>
      <c r="E1494" t="s">
        <v>514</v>
      </c>
      <c r="F1494" t="str">
        <f>"00468018"</f>
        <v>00468018</v>
      </c>
      <c r="G1494">
        <v>18.78</v>
      </c>
      <c r="H1494">
        <v>0</v>
      </c>
      <c r="I1494">
        <v>0</v>
      </c>
      <c r="J1494">
        <v>20</v>
      </c>
      <c r="K1494">
        <v>20</v>
      </c>
      <c r="N1494">
        <v>3</v>
      </c>
      <c r="O1494">
        <v>3</v>
      </c>
      <c r="P1494">
        <v>4</v>
      </c>
      <c r="Q1494">
        <v>0</v>
      </c>
      <c r="R1494">
        <v>45.78</v>
      </c>
      <c r="S1494">
        <v>0</v>
      </c>
      <c r="T1494">
        <v>0</v>
      </c>
      <c r="U1494">
        <v>0</v>
      </c>
      <c r="V1494">
        <v>0</v>
      </c>
      <c r="X1494">
        <v>45.78</v>
      </c>
    </row>
    <row r="1495" spans="1:24" ht="15">
      <c r="A1495">
        <v>1488</v>
      </c>
      <c r="B1495">
        <v>18772</v>
      </c>
      <c r="C1495" t="s">
        <v>116</v>
      </c>
      <c r="D1495" t="s">
        <v>23</v>
      </c>
      <c r="E1495" t="s">
        <v>27</v>
      </c>
      <c r="F1495" t="str">
        <f>"201402001627"</f>
        <v>201402001627</v>
      </c>
      <c r="G1495">
        <v>16.75</v>
      </c>
      <c r="H1495">
        <v>0</v>
      </c>
      <c r="I1495">
        <v>0</v>
      </c>
      <c r="J1495">
        <v>20</v>
      </c>
      <c r="K1495">
        <v>20</v>
      </c>
      <c r="N1495">
        <v>3</v>
      </c>
      <c r="O1495">
        <v>3</v>
      </c>
      <c r="P1495">
        <v>0</v>
      </c>
      <c r="Q1495">
        <v>0</v>
      </c>
      <c r="R1495">
        <v>39.75</v>
      </c>
      <c r="S1495">
        <v>0</v>
      </c>
      <c r="T1495">
        <v>0</v>
      </c>
      <c r="U1495">
        <v>6</v>
      </c>
      <c r="V1495">
        <v>0</v>
      </c>
      <c r="X1495">
        <v>45.75</v>
      </c>
    </row>
    <row r="1496" spans="1:24" ht="15">
      <c r="A1496">
        <v>1489</v>
      </c>
      <c r="B1496">
        <v>111817</v>
      </c>
      <c r="C1496" t="s">
        <v>1358</v>
      </c>
      <c r="D1496" t="s">
        <v>273</v>
      </c>
      <c r="E1496" t="s">
        <v>17</v>
      </c>
      <c r="F1496" t="str">
        <f>"00610730"</f>
        <v>00610730</v>
      </c>
      <c r="G1496">
        <v>22.73</v>
      </c>
      <c r="H1496">
        <v>0</v>
      </c>
      <c r="I1496">
        <v>0</v>
      </c>
      <c r="J1496">
        <v>20</v>
      </c>
      <c r="K1496">
        <v>20</v>
      </c>
      <c r="N1496">
        <v>3</v>
      </c>
      <c r="O1496">
        <v>3</v>
      </c>
      <c r="P1496">
        <v>0</v>
      </c>
      <c r="Q1496">
        <v>0</v>
      </c>
      <c r="R1496">
        <v>45.73</v>
      </c>
      <c r="S1496">
        <v>0</v>
      </c>
      <c r="T1496">
        <v>0</v>
      </c>
      <c r="U1496">
        <v>0</v>
      </c>
      <c r="V1496">
        <v>0</v>
      </c>
      <c r="X1496">
        <v>45.73</v>
      </c>
    </row>
    <row r="1497" spans="1:24" ht="15">
      <c r="A1497">
        <v>1490</v>
      </c>
      <c r="B1497">
        <v>30817</v>
      </c>
      <c r="C1497" t="s">
        <v>1360</v>
      </c>
      <c r="D1497" t="s">
        <v>558</v>
      </c>
      <c r="E1497" t="s">
        <v>151</v>
      </c>
      <c r="F1497" t="str">
        <f>"00016134"</f>
        <v>00016134</v>
      </c>
      <c r="G1497">
        <v>18.73</v>
      </c>
      <c r="H1497">
        <v>0</v>
      </c>
      <c r="I1497">
        <v>0</v>
      </c>
      <c r="J1497">
        <v>20</v>
      </c>
      <c r="K1497">
        <v>20</v>
      </c>
      <c r="N1497">
        <v>3</v>
      </c>
      <c r="O1497">
        <v>3</v>
      </c>
      <c r="P1497">
        <v>4</v>
      </c>
      <c r="Q1497">
        <v>0</v>
      </c>
      <c r="R1497">
        <v>45.73</v>
      </c>
      <c r="S1497">
        <v>0</v>
      </c>
      <c r="T1497">
        <v>0</v>
      </c>
      <c r="U1497">
        <v>0</v>
      </c>
      <c r="V1497">
        <v>0</v>
      </c>
      <c r="X1497">
        <v>45.73</v>
      </c>
    </row>
    <row r="1498" spans="1:24" ht="15">
      <c r="A1498">
        <v>1491</v>
      </c>
      <c r="B1498">
        <v>52995</v>
      </c>
      <c r="C1498" t="s">
        <v>1361</v>
      </c>
      <c r="D1498" t="s">
        <v>35</v>
      </c>
      <c r="E1498" t="s">
        <v>1247</v>
      </c>
      <c r="F1498" t="str">
        <f>"00038067"</f>
        <v>00038067</v>
      </c>
      <c r="G1498">
        <v>16.7</v>
      </c>
      <c r="H1498">
        <v>0</v>
      </c>
      <c r="I1498">
        <v>0</v>
      </c>
      <c r="J1498">
        <v>20</v>
      </c>
      <c r="K1498">
        <v>20</v>
      </c>
      <c r="M1498">
        <v>5</v>
      </c>
      <c r="O1498">
        <v>5</v>
      </c>
      <c r="P1498">
        <v>4</v>
      </c>
      <c r="Q1498">
        <v>0</v>
      </c>
      <c r="R1498">
        <v>45.7</v>
      </c>
      <c r="S1498">
        <v>0</v>
      </c>
      <c r="T1498">
        <v>0</v>
      </c>
      <c r="U1498">
        <v>0</v>
      </c>
      <c r="V1498">
        <v>0</v>
      </c>
      <c r="X1498">
        <v>45.7</v>
      </c>
    </row>
    <row r="1499" spans="1:24" ht="15">
      <c r="A1499">
        <v>1492</v>
      </c>
      <c r="B1499">
        <v>57346</v>
      </c>
      <c r="C1499" t="s">
        <v>1363</v>
      </c>
      <c r="D1499" t="s">
        <v>75</v>
      </c>
      <c r="E1499" t="s">
        <v>360</v>
      </c>
      <c r="F1499" t="str">
        <f>"00038124"</f>
        <v>00038124</v>
      </c>
      <c r="G1499">
        <v>18.65</v>
      </c>
      <c r="H1499">
        <v>0</v>
      </c>
      <c r="I1499">
        <v>0</v>
      </c>
      <c r="J1499">
        <v>20</v>
      </c>
      <c r="K1499">
        <v>20</v>
      </c>
      <c r="N1499">
        <v>3</v>
      </c>
      <c r="O1499">
        <v>3</v>
      </c>
      <c r="P1499">
        <v>4</v>
      </c>
      <c r="Q1499">
        <v>0</v>
      </c>
      <c r="R1499">
        <v>45.65</v>
      </c>
      <c r="S1499">
        <v>0</v>
      </c>
      <c r="T1499">
        <v>0</v>
      </c>
      <c r="U1499">
        <v>0</v>
      </c>
      <c r="V1499">
        <v>0</v>
      </c>
      <c r="X1499">
        <v>45.65</v>
      </c>
    </row>
    <row r="1500" spans="1:24" ht="15">
      <c r="A1500">
        <v>1493</v>
      </c>
      <c r="B1500">
        <v>93665</v>
      </c>
      <c r="C1500" t="s">
        <v>1367</v>
      </c>
      <c r="D1500" t="s">
        <v>53</v>
      </c>
      <c r="E1500" t="s">
        <v>30</v>
      </c>
      <c r="F1500" t="str">
        <f>"00466383"</f>
        <v>00466383</v>
      </c>
      <c r="G1500">
        <v>18.3</v>
      </c>
      <c r="H1500">
        <v>0</v>
      </c>
      <c r="I1500">
        <v>0</v>
      </c>
      <c r="J1500">
        <v>20</v>
      </c>
      <c r="K1500">
        <v>20</v>
      </c>
      <c r="N1500">
        <v>3</v>
      </c>
      <c r="O1500">
        <v>3</v>
      </c>
      <c r="P1500">
        <v>4</v>
      </c>
      <c r="Q1500">
        <v>0</v>
      </c>
      <c r="R1500">
        <v>45.3</v>
      </c>
      <c r="S1500">
        <v>0</v>
      </c>
      <c r="T1500">
        <v>0</v>
      </c>
      <c r="U1500">
        <v>0</v>
      </c>
      <c r="V1500">
        <v>0</v>
      </c>
      <c r="X1500">
        <v>45.3</v>
      </c>
    </row>
    <row r="1501" spans="1:24" ht="15">
      <c r="A1501">
        <v>1494</v>
      </c>
      <c r="B1501">
        <v>6554</v>
      </c>
      <c r="C1501" t="s">
        <v>1368</v>
      </c>
      <c r="D1501" t="s">
        <v>21</v>
      </c>
      <c r="E1501" t="s">
        <v>17</v>
      </c>
      <c r="F1501" t="str">
        <f>"00467557"</f>
        <v>00467557</v>
      </c>
      <c r="G1501">
        <v>18.28</v>
      </c>
      <c r="H1501">
        <v>0</v>
      </c>
      <c r="I1501">
        <v>0</v>
      </c>
      <c r="J1501">
        <v>20</v>
      </c>
      <c r="K1501">
        <v>20</v>
      </c>
      <c r="N1501">
        <v>3</v>
      </c>
      <c r="O1501">
        <v>3</v>
      </c>
      <c r="P1501">
        <v>4</v>
      </c>
      <c r="Q1501">
        <v>0</v>
      </c>
      <c r="R1501">
        <v>45.28</v>
      </c>
      <c r="S1501">
        <v>0</v>
      </c>
      <c r="T1501">
        <v>0</v>
      </c>
      <c r="U1501">
        <v>0</v>
      </c>
      <c r="V1501">
        <v>0</v>
      </c>
      <c r="X1501">
        <v>45.28</v>
      </c>
    </row>
    <row r="1502" spans="1:24" ht="15">
      <c r="A1502">
        <v>1495</v>
      </c>
      <c r="B1502">
        <v>115688</v>
      </c>
      <c r="C1502" t="s">
        <v>1369</v>
      </c>
      <c r="D1502" t="s">
        <v>122</v>
      </c>
      <c r="E1502" t="s">
        <v>139</v>
      </c>
      <c r="F1502" t="str">
        <f>"00435563"</f>
        <v>00435563</v>
      </c>
      <c r="G1502">
        <v>18.28</v>
      </c>
      <c r="H1502">
        <v>0</v>
      </c>
      <c r="I1502">
        <v>0</v>
      </c>
      <c r="J1502">
        <v>20</v>
      </c>
      <c r="K1502">
        <v>20</v>
      </c>
      <c r="N1502">
        <v>3</v>
      </c>
      <c r="O1502">
        <v>3</v>
      </c>
      <c r="P1502">
        <v>4</v>
      </c>
      <c r="Q1502">
        <v>0</v>
      </c>
      <c r="R1502">
        <v>45.28</v>
      </c>
      <c r="S1502">
        <v>0</v>
      </c>
      <c r="T1502">
        <v>0</v>
      </c>
      <c r="U1502">
        <v>0</v>
      </c>
      <c r="V1502">
        <v>0</v>
      </c>
      <c r="X1502">
        <v>45.28</v>
      </c>
    </row>
    <row r="1503" spans="1:24" ht="15">
      <c r="A1503">
        <v>1496</v>
      </c>
      <c r="B1503">
        <v>62869</v>
      </c>
      <c r="C1503" t="s">
        <v>1309</v>
      </c>
      <c r="D1503" t="s">
        <v>219</v>
      </c>
      <c r="E1503" t="s">
        <v>111</v>
      </c>
      <c r="F1503" t="str">
        <f>"00625254"</f>
        <v>00625254</v>
      </c>
      <c r="G1503">
        <v>16.25</v>
      </c>
      <c r="H1503">
        <v>0</v>
      </c>
      <c r="I1503">
        <v>0</v>
      </c>
      <c r="J1503">
        <v>20</v>
      </c>
      <c r="K1503">
        <v>20</v>
      </c>
      <c r="N1503">
        <v>3</v>
      </c>
      <c r="O1503">
        <v>3</v>
      </c>
      <c r="P1503">
        <v>0</v>
      </c>
      <c r="Q1503">
        <v>0</v>
      </c>
      <c r="R1503">
        <v>39.25</v>
      </c>
      <c r="S1503">
        <v>0</v>
      </c>
      <c r="T1503">
        <v>0</v>
      </c>
      <c r="U1503">
        <v>6</v>
      </c>
      <c r="V1503">
        <v>0</v>
      </c>
      <c r="X1503">
        <v>45.25</v>
      </c>
    </row>
    <row r="1504" spans="1:24" ht="15">
      <c r="A1504">
        <v>1497</v>
      </c>
      <c r="B1504">
        <v>113063</v>
      </c>
      <c r="C1504" t="s">
        <v>1370</v>
      </c>
      <c r="D1504" t="s">
        <v>27</v>
      </c>
      <c r="E1504" t="s">
        <v>1371</v>
      </c>
      <c r="F1504" t="str">
        <f>"00148794"</f>
        <v>00148794</v>
      </c>
      <c r="G1504">
        <v>18.2</v>
      </c>
      <c r="H1504">
        <v>0</v>
      </c>
      <c r="I1504">
        <v>0</v>
      </c>
      <c r="J1504">
        <v>20</v>
      </c>
      <c r="K1504">
        <v>20</v>
      </c>
      <c r="N1504">
        <v>3</v>
      </c>
      <c r="O1504">
        <v>3</v>
      </c>
      <c r="P1504">
        <v>4</v>
      </c>
      <c r="Q1504">
        <v>0</v>
      </c>
      <c r="R1504">
        <v>45.2</v>
      </c>
      <c r="S1504">
        <v>0</v>
      </c>
      <c r="T1504">
        <v>0</v>
      </c>
      <c r="U1504">
        <v>0</v>
      </c>
      <c r="V1504">
        <v>0</v>
      </c>
      <c r="X1504">
        <v>45.2</v>
      </c>
    </row>
    <row r="1505" spans="1:24" ht="15">
      <c r="A1505">
        <v>1498</v>
      </c>
      <c r="B1505">
        <v>25398</v>
      </c>
      <c r="C1505" t="s">
        <v>723</v>
      </c>
      <c r="D1505" t="s">
        <v>601</v>
      </c>
      <c r="E1505" t="s">
        <v>12</v>
      </c>
      <c r="F1505" t="str">
        <f>"00599380"</f>
        <v>00599380</v>
      </c>
      <c r="G1505">
        <v>15.1</v>
      </c>
      <c r="H1505">
        <v>0</v>
      </c>
      <c r="I1505">
        <v>0</v>
      </c>
      <c r="J1505">
        <v>20</v>
      </c>
      <c r="K1505">
        <v>20</v>
      </c>
      <c r="N1505">
        <v>6</v>
      </c>
      <c r="O1505">
        <v>6</v>
      </c>
      <c r="P1505">
        <v>4</v>
      </c>
      <c r="Q1505">
        <v>0</v>
      </c>
      <c r="R1505">
        <v>45.1</v>
      </c>
      <c r="S1505">
        <v>0</v>
      </c>
      <c r="T1505">
        <v>0</v>
      </c>
      <c r="U1505">
        <v>0</v>
      </c>
      <c r="V1505">
        <v>0</v>
      </c>
      <c r="X1505">
        <v>45.1</v>
      </c>
    </row>
    <row r="1506" spans="1:24" ht="15">
      <c r="A1506">
        <v>1499</v>
      </c>
      <c r="B1506">
        <v>35304</v>
      </c>
      <c r="C1506" t="s">
        <v>1374</v>
      </c>
      <c r="D1506" t="s">
        <v>469</v>
      </c>
      <c r="E1506" t="s">
        <v>1375</v>
      </c>
      <c r="F1506" t="str">
        <f>"00546236"</f>
        <v>00546236</v>
      </c>
      <c r="G1506">
        <v>18.03</v>
      </c>
      <c r="H1506">
        <v>0</v>
      </c>
      <c r="I1506">
        <v>0</v>
      </c>
      <c r="J1506">
        <v>20</v>
      </c>
      <c r="K1506">
        <v>20</v>
      </c>
      <c r="N1506">
        <v>3</v>
      </c>
      <c r="O1506">
        <v>3</v>
      </c>
      <c r="P1506">
        <v>4</v>
      </c>
      <c r="Q1506">
        <v>0</v>
      </c>
      <c r="R1506">
        <v>45.03</v>
      </c>
      <c r="S1506">
        <v>0</v>
      </c>
      <c r="T1506">
        <v>0</v>
      </c>
      <c r="U1506">
        <v>0</v>
      </c>
      <c r="V1506">
        <v>0</v>
      </c>
      <c r="X1506">
        <v>45.03</v>
      </c>
    </row>
    <row r="1507" spans="1:24" ht="15">
      <c r="A1507">
        <v>1500</v>
      </c>
      <c r="B1507">
        <v>18683</v>
      </c>
      <c r="C1507" t="s">
        <v>65</v>
      </c>
      <c r="D1507" t="s">
        <v>962</v>
      </c>
      <c r="E1507" t="s">
        <v>120</v>
      </c>
      <c r="F1507" t="str">
        <f>"00369114"</f>
        <v>00369114</v>
      </c>
      <c r="G1507">
        <v>17.85</v>
      </c>
      <c r="H1507">
        <v>0</v>
      </c>
      <c r="I1507">
        <v>0</v>
      </c>
      <c r="J1507">
        <v>20</v>
      </c>
      <c r="K1507">
        <v>20</v>
      </c>
      <c r="N1507">
        <v>3</v>
      </c>
      <c r="O1507">
        <v>3</v>
      </c>
      <c r="P1507">
        <v>4</v>
      </c>
      <c r="Q1507">
        <v>0</v>
      </c>
      <c r="R1507">
        <v>44.85</v>
      </c>
      <c r="S1507">
        <v>0</v>
      </c>
      <c r="T1507">
        <v>0</v>
      </c>
      <c r="U1507">
        <v>0</v>
      </c>
      <c r="V1507">
        <v>0</v>
      </c>
      <c r="X1507">
        <v>44.85</v>
      </c>
    </row>
    <row r="1508" spans="1:24" ht="15">
      <c r="A1508">
        <v>1501</v>
      </c>
      <c r="B1508">
        <v>109377</v>
      </c>
      <c r="C1508" t="s">
        <v>1378</v>
      </c>
      <c r="D1508" t="s">
        <v>363</v>
      </c>
      <c r="E1508" t="s">
        <v>30</v>
      </c>
      <c r="F1508" t="str">
        <f>"00018310"</f>
        <v>00018310</v>
      </c>
      <c r="G1508">
        <v>13.83</v>
      </c>
      <c r="H1508">
        <v>0</v>
      </c>
      <c r="I1508">
        <v>0</v>
      </c>
      <c r="J1508">
        <v>20</v>
      </c>
      <c r="K1508">
        <v>20</v>
      </c>
      <c r="L1508">
        <v>7</v>
      </c>
      <c r="O1508">
        <v>7</v>
      </c>
      <c r="P1508">
        <v>4</v>
      </c>
      <c r="Q1508">
        <v>0</v>
      </c>
      <c r="R1508">
        <v>44.83</v>
      </c>
      <c r="S1508">
        <v>0</v>
      </c>
      <c r="T1508">
        <v>0</v>
      </c>
      <c r="U1508">
        <v>0</v>
      </c>
      <c r="V1508">
        <v>0</v>
      </c>
      <c r="X1508">
        <v>44.83</v>
      </c>
    </row>
    <row r="1509" spans="1:24" ht="15">
      <c r="A1509">
        <v>1502</v>
      </c>
      <c r="B1509">
        <v>91372</v>
      </c>
      <c r="C1509" t="s">
        <v>91</v>
      </c>
      <c r="D1509" t="s">
        <v>1379</v>
      </c>
      <c r="E1509" t="s">
        <v>772</v>
      </c>
      <c r="F1509" t="str">
        <f>"00634938"</f>
        <v>00634938</v>
      </c>
      <c r="G1509">
        <v>17.68</v>
      </c>
      <c r="H1509">
        <v>0</v>
      </c>
      <c r="I1509">
        <v>0</v>
      </c>
      <c r="J1509">
        <v>20</v>
      </c>
      <c r="K1509">
        <v>20</v>
      </c>
      <c r="N1509">
        <v>3</v>
      </c>
      <c r="O1509">
        <v>3</v>
      </c>
      <c r="P1509">
        <v>4</v>
      </c>
      <c r="Q1509">
        <v>0</v>
      </c>
      <c r="R1509">
        <v>44.68</v>
      </c>
      <c r="S1509">
        <v>0</v>
      </c>
      <c r="T1509">
        <v>0</v>
      </c>
      <c r="U1509">
        <v>0</v>
      </c>
      <c r="V1509">
        <v>0</v>
      </c>
      <c r="X1509">
        <v>44.68</v>
      </c>
    </row>
    <row r="1510" spans="1:24" ht="15">
      <c r="A1510">
        <v>1503</v>
      </c>
      <c r="B1510">
        <v>26441</v>
      </c>
      <c r="C1510" t="s">
        <v>1248</v>
      </c>
      <c r="D1510" t="s">
        <v>113</v>
      </c>
      <c r="E1510" t="s">
        <v>56</v>
      </c>
      <c r="F1510" t="str">
        <f>"00620146"</f>
        <v>00620146</v>
      </c>
      <c r="G1510">
        <v>17.65</v>
      </c>
      <c r="H1510">
        <v>0</v>
      </c>
      <c r="I1510">
        <v>0</v>
      </c>
      <c r="J1510">
        <v>20</v>
      </c>
      <c r="K1510">
        <v>20</v>
      </c>
      <c r="O1510">
        <v>0</v>
      </c>
      <c r="P1510">
        <v>4</v>
      </c>
      <c r="Q1510">
        <v>0</v>
      </c>
      <c r="R1510">
        <v>41.65</v>
      </c>
      <c r="S1510">
        <v>0</v>
      </c>
      <c r="T1510">
        <v>0</v>
      </c>
      <c r="U1510">
        <v>3</v>
      </c>
      <c r="V1510">
        <v>0</v>
      </c>
      <c r="X1510">
        <v>44.65</v>
      </c>
    </row>
    <row r="1511" spans="1:24" ht="15">
      <c r="A1511">
        <v>1504</v>
      </c>
      <c r="B1511">
        <v>90885</v>
      </c>
      <c r="C1511" t="s">
        <v>1380</v>
      </c>
      <c r="D1511" t="s">
        <v>1381</v>
      </c>
      <c r="E1511" t="s">
        <v>51</v>
      </c>
      <c r="F1511" t="str">
        <f>"201504001832"</f>
        <v>201504001832</v>
      </c>
      <c r="G1511">
        <v>19.63</v>
      </c>
      <c r="H1511">
        <v>0</v>
      </c>
      <c r="I1511">
        <v>0</v>
      </c>
      <c r="J1511">
        <v>0</v>
      </c>
      <c r="K1511">
        <v>0</v>
      </c>
      <c r="L1511">
        <v>7</v>
      </c>
      <c r="O1511">
        <v>7</v>
      </c>
      <c r="P1511">
        <v>0</v>
      </c>
      <c r="Q1511">
        <v>0</v>
      </c>
      <c r="R1511">
        <v>26.63</v>
      </c>
      <c r="S1511">
        <v>0</v>
      </c>
      <c r="T1511">
        <v>0</v>
      </c>
      <c r="U1511">
        <v>18</v>
      </c>
      <c r="V1511">
        <v>0</v>
      </c>
      <c r="X1511">
        <v>44.63</v>
      </c>
    </row>
    <row r="1512" spans="1:24" ht="15">
      <c r="A1512">
        <v>1505</v>
      </c>
      <c r="B1512">
        <v>109676</v>
      </c>
      <c r="C1512" t="s">
        <v>1382</v>
      </c>
      <c r="D1512" t="s">
        <v>124</v>
      </c>
      <c r="E1512" t="s">
        <v>21</v>
      </c>
      <c r="F1512" t="str">
        <f>"00339431"</f>
        <v>00339431</v>
      </c>
      <c r="G1512">
        <v>17.63</v>
      </c>
      <c r="H1512">
        <v>0</v>
      </c>
      <c r="I1512">
        <v>0</v>
      </c>
      <c r="J1512">
        <v>20</v>
      </c>
      <c r="K1512">
        <v>20</v>
      </c>
      <c r="N1512">
        <v>3</v>
      </c>
      <c r="O1512">
        <v>3</v>
      </c>
      <c r="P1512">
        <v>4</v>
      </c>
      <c r="Q1512">
        <v>0</v>
      </c>
      <c r="R1512">
        <v>44.63</v>
      </c>
      <c r="S1512">
        <v>0</v>
      </c>
      <c r="T1512">
        <v>0</v>
      </c>
      <c r="U1512">
        <v>0</v>
      </c>
      <c r="V1512">
        <v>0</v>
      </c>
      <c r="X1512">
        <v>44.63</v>
      </c>
    </row>
    <row r="1513" spans="1:24" ht="15">
      <c r="A1513">
        <v>1506</v>
      </c>
      <c r="B1513">
        <v>28418</v>
      </c>
      <c r="C1513" t="s">
        <v>1384</v>
      </c>
      <c r="D1513" t="s">
        <v>97</v>
      </c>
      <c r="E1513" t="s">
        <v>80</v>
      </c>
      <c r="F1513" t="str">
        <f>"00431079"</f>
        <v>00431079</v>
      </c>
      <c r="G1513">
        <v>17.5</v>
      </c>
      <c r="H1513">
        <v>0</v>
      </c>
      <c r="I1513">
        <v>0</v>
      </c>
      <c r="J1513">
        <v>20</v>
      </c>
      <c r="K1513">
        <v>20</v>
      </c>
      <c r="N1513">
        <v>3</v>
      </c>
      <c r="O1513">
        <v>3</v>
      </c>
      <c r="P1513">
        <v>4</v>
      </c>
      <c r="Q1513">
        <v>0</v>
      </c>
      <c r="R1513">
        <v>44.5</v>
      </c>
      <c r="S1513">
        <v>0</v>
      </c>
      <c r="T1513">
        <v>0</v>
      </c>
      <c r="U1513">
        <v>0</v>
      </c>
      <c r="V1513">
        <v>0</v>
      </c>
      <c r="X1513">
        <v>44.5</v>
      </c>
    </row>
    <row r="1514" spans="1:24" ht="15">
      <c r="A1514">
        <v>1507</v>
      </c>
      <c r="B1514">
        <v>115595</v>
      </c>
      <c r="C1514" t="s">
        <v>383</v>
      </c>
      <c r="D1514" t="s">
        <v>1385</v>
      </c>
      <c r="E1514" t="s">
        <v>27</v>
      </c>
      <c r="F1514" t="str">
        <f>"00649913"</f>
        <v>00649913</v>
      </c>
      <c r="G1514">
        <v>17.5</v>
      </c>
      <c r="H1514">
        <v>0</v>
      </c>
      <c r="I1514">
        <v>0</v>
      </c>
      <c r="J1514">
        <v>20</v>
      </c>
      <c r="K1514">
        <v>20</v>
      </c>
      <c r="L1514">
        <v>7</v>
      </c>
      <c r="O1514">
        <v>7</v>
      </c>
      <c r="P1514">
        <v>0</v>
      </c>
      <c r="Q1514">
        <v>0</v>
      </c>
      <c r="R1514">
        <v>44.5</v>
      </c>
      <c r="S1514">
        <v>0</v>
      </c>
      <c r="T1514">
        <v>0</v>
      </c>
      <c r="U1514">
        <v>0</v>
      </c>
      <c r="V1514">
        <v>0</v>
      </c>
      <c r="X1514">
        <v>44.5</v>
      </c>
    </row>
    <row r="1515" spans="1:24" ht="15">
      <c r="A1515">
        <v>1508</v>
      </c>
      <c r="B1515">
        <v>24727</v>
      </c>
      <c r="C1515" t="s">
        <v>441</v>
      </c>
      <c r="D1515" t="s">
        <v>1388</v>
      </c>
      <c r="E1515" t="s">
        <v>507</v>
      </c>
      <c r="F1515" t="str">
        <f>"00009760"</f>
        <v>00009760</v>
      </c>
      <c r="G1515">
        <v>18.38</v>
      </c>
      <c r="H1515">
        <v>7</v>
      </c>
      <c r="I1515">
        <v>0</v>
      </c>
      <c r="J1515">
        <v>0</v>
      </c>
      <c r="K1515">
        <v>0</v>
      </c>
      <c r="L1515">
        <v>7</v>
      </c>
      <c r="M1515">
        <v>5</v>
      </c>
      <c r="O1515">
        <v>12</v>
      </c>
      <c r="P1515">
        <v>4</v>
      </c>
      <c r="Q1515">
        <v>0</v>
      </c>
      <c r="R1515">
        <v>41.38</v>
      </c>
      <c r="S1515">
        <v>0</v>
      </c>
      <c r="T1515">
        <v>0</v>
      </c>
      <c r="U1515">
        <v>3</v>
      </c>
      <c r="V1515">
        <v>0</v>
      </c>
      <c r="X1515">
        <v>44.38</v>
      </c>
    </row>
    <row r="1516" spans="1:24" ht="15">
      <c r="A1516">
        <v>1509</v>
      </c>
      <c r="B1516">
        <v>109929</v>
      </c>
      <c r="C1516" t="s">
        <v>1389</v>
      </c>
      <c r="D1516" t="s">
        <v>728</v>
      </c>
      <c r="E1516" t="s">
        <v>113</v>
      </c>
      <c r="F1516" t="str">
        <f>"00160708"</f>
        <v>00160708</v>
      </c>
      <c r="G1516">
        <v>17.33</v>
      </c>
      <c r="H1516">
        <v>0</v>
      </c>
      <c r="I1516">
        <v>0</v>
      </c>
      <c r="J1516">
        <v>20</v>
      </c>
      <c r="K1516">
        <v>20</v>
      </c>
      <c r="N1516">
        <v>3</v>
      </c>
      <c r="O1516">
        <v>3</v>
      </c>
      <c r="P1516">
        <v>4</v>
      </c>
      <c r="Q1516">
        <v>0</v>
      </c>
      <c r="R1516">
        <v>44.33</v>
      </c>
      <c r="S1516">
        <v>0</v>
      </c>
      <c r="T1516">
        <v>0</v>
      </c>
      <c r="U1516">
        <v>0</v>
      </c>
      <c r="V1516">
        <v>0</v>
      </c>
      <c r="X1516">
        <v>44.33</v>
      </c>
    </row>
    <row r="1517" spans="1:24" ht="15">
      <c r="A1517">
        <v>1510</v>
      </c>
      <c r="B1517">
        <v>4860</v>
      </c>
      <c r="C1517" t="s">
        <v>1390</v>
      </c>
      <c r="D1517" t="s">
        <v>50</v>
      </c>
      <c r="E1517" t="s">
        <v>53</v>
      </c>
      <c r="F1517" t="str">
        <f>"00590467"</f>
        <v>00590467</v>
      </c>
      <c r="G1517">
        <v>17.3</v>
      </c>
      <c r="H1517">
        <v>0</v>
      </c>
      <c r="I1517">
        <v>0</v>
      </c>
      <c r="J1517">
        <v>20</v>
      </c>
      <c r="K1517">
        <v>20</v>
      </c>
      <c r="L1517">
        <v>7</v>
      </c>
      <c r="O1517">
        <v>7</v>
      </c>
      <c r="P1517">
        <v>0</v>
      </c>
      <c r="Q1517">
        <v>0</v>
      </c>
      <c r="R1517">
        <v>44.3</v>
      </c>
      <c r="S1517">
        <v>0</v>
      </c>
      <c r="T1517">
        <v>0</v>
      </c>
      <c r="U1517">
        <v>0</v>
      </c>
      <c r="V1517">
        <v>0</v>
      </c>
      <c r="X1517">
        <v>44.3</v>
      </c>
    </row>
    <row r="1518" spans="1:24" ht="15">
      <c r="A1518">
        <v>1511</v>
      </c>
      <c r="B1518">
        <v>97649</v>
      </c>
      <c r="C1518" t="s">
        <v>431</v>
      </c>
      <c r="D1518" t="s">
        <v>109</v>
      </c>
      <c r="E1518" t="s">
        <v>27</v>
      </c>
      <c r="F1518" t="str">
        <f>"00640231"</f>
        <v>00640231</v>
      </c>
      <c r="G1518">
        <v>17.23</v>
      </c>
      <c r="H1518">
        <v>0</v>
      </c>
      <c r="I1518">
        <v>0</v>
      </c>
      <c r="J1518">
        <v>20</v>
      </c>
      <c r="K1518">
        <v>20</v>
      </c>
      <c r="N1518">
        <v>3</v>
      </c>
      <c r="O1518">
        <v>3</v>
      </c>
      <c r="P1518">
        <v>4</v>
      </c>
      <c r="Q1518">
        <v>0</v>
      </c>
      <c r="R1518">
        <v>44.23</v>
      </c>
      <c r="S1518">
        <v>0</v>
      </c>
      <c r="T1518">
        <v>0</v>
      </c>
      <c r="U1518">
        <v>0</v>
      </c>
      <c r="V1518">
        <v>0</v>
      </c>
      <c r="X1518">
        <v>44.23</v>
      </c>
    </row>
    <row r="1519" spans="1:24" ht="15">
      <c r="A1519">
        <v>1512</v>
      </c>
      <c r="B1519">
        <v>113960</v>
      </c>
      <c r="C1519" t="s">
        <v>1391</v>
      </c>
      <c r="D1519" t="s">
        <v>17</v>
      </c>
      <c r="E1519" t="s">
        <v>215</v>
      </c>
      <c r="F1519" t="str">
        <f>"00652000"</f>
        <v>00652000</v>
      </c>
      <c r="G1519">
        <v>20.2</v>
      </c>
      <c r="H1519">
        <v>0</v>
      </c>
      <c r="I1519">
        <v>0</v>
      </c>
      <c r="J1519">
        <v>20</v>
      </c>
      <c r="K1519">
        <v>20</v>
      </c>
      <c r="O1519">
        <v>0</v>
      </c>
      <c r="P1519">
        <v>4</v>
      </c>
      <c r="Q1519">
        <v>0</v>
      </c>
      <c r="R1519">
        <v>44.2</v>
      </c>
      <c r="S1519">
        <v>0</v>
      </c>
      <c r="T1519">
        <v>0</v>
      </c>
      <c r="U1519">
        <v>0</v>
      </c>
      <c r="V1519">
        <v>0</v>
      </c>
      <c r="X1519">
        <v>44.2</v>
      </c>
    </row>
    <row r="1520" spans="1:24" ht="15">
      <c r="A1520">
        <v>1513</v>
      </c>
      <c r="B1520">
        <v>14947</v>
      </c>
      <c r="C1520" t="s">
        <v>1392</v>
      </c>
      <c r="D1520" t="s">
        <v>1393</v>
      </c>
      <c r="E1520" t="s">
        <v>120</v>
      </c>
      <c r="F1520" t="str">
        <f>"00479682"</f>
        <v>00479682</v>
      </c>
      <c r="G1520">
        <v>17.2</v>
      </c>
      <c r="H1520">
        <v>0</v>
      </c>
      <c r="I1520">
        <v>0</v>
      </c>
      <c r="J1520">
        <v>20</v>
      </c>
      <c r="K1520">
        <v>20</v>
      </c>
      <c r="N1520">
        <v>3</v>
      </c>
      <c r="O1520">
        <v>3</v>
      </c>
      <c r="P1520">
        <v>4</v>
      </c>
      <c r="Q1520">
        <v>0</v>
      </c>
      <c r="R1520">
        <v>44.2</v>
      </c>
      <c r="S1520">
        <v>0</v>
      </c>
      <c r="T1520">
        <v>0</v>
      </c>
      <c r="U1520">
        <v>0</v>
      </c>
      <c r="V1520">
        <v>0</v>
      </c>
      <c r="X1520">
        <v>44.2</v>
      </c>
    </row>
    <row r="1521" spans="1:24" ht="15">
      <c r="A1521">
        <v>1514</v>
      </c>
      <c r="B1521">
        <v>80434</v>
      </c>
      <c r="C1521" t="s">
        <v>1394</v>
      </c>
      <c r="D1521" t="s">
        <v>17</v>
      </c>
      <c r="E1521" t="s">
        <v>27</v>
      </c>
      <c r="F1521" t="str">
        <f>"00017719"</f>
        <v>00017719</v>
      </c>
      <c r="G1521">
        <v>17.1</v>
      </c>
      <c r="H1521">
        <v>0</v>
      </c>
      <c r="I1521">
        <v>0</v>
      </c>
      <c r="J1521">
        <v>20</v>
      </c>
      <c r="K1521">
        <v>20</v>
      </c>
      <c r="N1521">
        <v>3</v>
      </c>
      <c r="O1521">
        <v>3</v>
      </c>
      <c r="P1521">
        <v>4</v>
      </c>
      <c r="Q1521">
        <v>0</v>
      </c>
      <c r="R1521">
        <v>44.1</v>
      </c>
      <c r="S1521">
        <v>0</v>
      </c>
      <c r="T1521">
        <v>0</v>
      </c>
      <c r="U1521">
        <v>0</v>
      </c>
      <c r="V1521">
        <v>0</v>
      </c>
      <c r="X1521">
        <v>44.1</v>
      </c>
    </row>
    <row r="1522" spans="1:24" ht="15">
      <c r="A1522">
        <v>1515</v>
      </c>
      <c r="B1522">
        <v>113918</v>
      </c>
      <c r="C1522" t="s">
        <v>1396</v>
      </c>
      <c r="D1522" t="s">
        <v>1397</v>
      </c>
      <c r="E1522" t="s">
        <v>17</v>
      </c>
      <c r="F1522" t="str">
        <f>"00013877"</f>
        <v>00013877</v>
      </c>
      <c r="G1522">
        <v>17.05</v>
      </c>
      <c r="H1522">
        <v>0</v>
      </c>
      <c r="I1522">
        <v>0</v>
      </c>
      <c r="J1522">
        <v>20</v>
      </c>
      <c r="K1522">
        <v>20</v>
      </c>
      <c r="N1522">
        <v>3</v>
      </c>
      <c r="O1522">
        <v>3</v>
      </c>
      <c r="P1522">
        <v>4</v>
      </c>
      <c r="Q1522">
        <v>0</v>
      </c>
      <c r="R1522">
        <v>44.05</v>
      </c>
      <c r="S1522">
        <v>0</v>
      </c>
      <c r="T1522">
        <v>0</v>
      </c>
      <c r="U1522">
        <v>0</v>
      </c>
      <c r="V1522">
        <v>0</v>
      </c>
      <c r="X1522">
        <v>44.05</v>
      </c>
    </row>
    <row r="1523" spans="1:24" ht="15">
      <c r="A1523">
        <v>1516</v>
      </c>
      <c r="B1523">
        <v>7965</v>
      </c>
      <c r="C1523" t="s">
        <v>1398</v>
      </c>
      <c r="D1523" t="s">
        <v>95</v>
      </c>
      <c r="E1523" t="s">
        <v>67</v>
      </c>
      <c r="F1523" t="str">
        <f>"00456574"</f>
        <v>00456574</v>
      </c>
      <c r="G1523">
        <v>20.03</v>
      </c>
      <c r="H1523">
        <v>0</v>
      </c>
      <c r="I1523">
        <v>0</v>
      </c>
      <c r="J1523">
        <v>20</v>
      </c>
      <c r="K1523">
        <v>20</v>
      </c>
      <c r="O1523">
        <v>0</v>
      </c>
      <c r="P1523">
        <v>4</v>
      </c>
      <c r="Q1523">
        <v>0</v>
      </c>
      <c r="R1523">
        <v>44.03</v>
      </c>
      <c r="S1523">
        <v>0</v>
      </c>
      <c r="T1523">
        <v>0</v>
      </c>
      <c r="U1523">
        <v>0</v>
      </c>
      <c r="V1523">
        <v>0</v>
      </c>
      <c r="X1523">
        <v>44.03</v>
      </c>
    </row>
    <row r="1524" spans="1:24" ht="15">
      <c r="A1524">
        <v>1517</v>
      </c>
      <c r="B1524">
        <v>103193</v>
      </c>
      <c r="C1524" t="s">
        <v>1399</v>
      </c>
      <c r="D1524" t="s">
        <v>44</v>
      </c>
      <c r="E1524" t="s">
        <v>60</v>
      </c>
      <c r="F1524" t="str">
        <f>"00649150"</f>
        <v>00649150</v>
      </c>
      <c r="G1524">
        <v>16.88</v>
      </c>
      <c r="H1524">
        <v>0</v>
      </c>
      <c r="I1524">
        <v>0</v>
      </c>
      <c r="J1524">
        <v>20</v>
      </c>
      <c r="K1524">
        <v>20</v>
      </c>
      <c r="N1524">
        <v>3</v>
      </c>
      <c r="O1524">
        <v>3</v>
      </c>
      <c r="P1524">
        <v>4</v>
      </c>
      <c r="Q1524">
        <v>0</v>
      </c>
      <c r="R1524">
        <v>43.88</v>
      </c>
      <c r="S1524">
        <v>0</v>
      </c>
      <c r="T1524">
        <v>0</v>
      </c>
      <c r="U1524">
        <v>0</v>
      </c>
      <c r="V1524">
        <v>0</v>
      </c>
      <c r="X1524">
        <v>43.88</v>
      </c>
    </row>
    <row r="1525" spans="1:24" ht="15">
      <c r="A1525">
        <v>1518</v>
      </c>
      <c r="B1525">
        <v>103551</v>
      </c>
      <c r="C1525" t="s">
        <v>1402</v>
      </c>
      <c r="D1525" t="s">
        <v>53</v>
      </c>
      <c r="E1525" t="s">
        <v>131</v>
      </c>
      <c r="F1525" t="str">
        <f>"00029795"</f>
        <v>00029795</v>
      </c>
      <c r="G1525">
        <v>16.8</v>
      </c>
      <c r="H1525">
        <v>0</v>
      </c>
      <c r="I1525">
        <v>0</v>
      </c>
      <c r="J1525">
        <v>20</v>
      </c>
      <c r="K1525">
        <v>20</v>
      </c>
      <c r="N1525">
        <v>3</v>
      </c>
      <c r="O1525">
        <v>3</v>
      </c>
      <c r="P1525">
        <v>4</v>
      </c>
      <c r="Q1525">
        <v>0</v>
      </c>
      <c r="R1525">
        <v>43.8</v>
      </c>
      <c r="S1525">
        <v>0</v>
      </c>
      <c r="T1525">
        <v>0</v>
      </c>
      <c r="U1525">
        <v>0</v>
      </c>
      <c r="V1525">
        <v>0</v>
      </c>
      <c r="X1525">
        <v>43.8</v>
      </c>
    </row>
    <row r="1526" spans="1:24" ht="15">
      <c r="A1526">
        <v>1519</v>
      </c>
      <c r="B1526">
        <v>40915</v>
      </c>
      <c r="C1526" t="s">
        <v>1406</v>
      </c>
      <c r="D1526" t="s">
        <v>27</v>
      </c>
      <c r="E1526" t="s">
        <v>155</v>
      </c>
      <c r="F1526" t="str">
        <f>"201411003250"</f>
        <v>201411003250</v>
      </c>
      <c r="G1526">
        <v>16.55</v>
      </c>
      <c r="H1526">
        <v>0</v>
      </c>
      <c r="I1526">
        <v>0</v>
      </c>
      <c r="J1526">
        <v>20</v>
      </c>
      <c r="K1526">
        <v>20</v>
      </c>
      <c r="N1526">
        <v>3</v>
      </c>
      <c r="O1526">
        <v>3</v>
      </c>
      <c r="P1526">
        <v>4</v>
      </c>
      <c r="Q1526">
        <v>0</v>
      </c>
      <c r="R1526">
        <v>43.55</v>
      </c>
      <c r="S1526">
        <v>0</v>
      </c>
      <c r="T1526">
        <v>0</v>
      </c>
      <c r="U1526">
        <v>0</v>
      </c>
      <c r="V1526">
        <v>0</v>
      </c>
      <c r="X1526">
        <v>43.55</v>
      </c>
    </row>
    <row r="1527" spans="1:24" ht="15">
      <c r="A1527">
        <v>1520</v>
      </c>
      <c r="B1527">
        <v>48174</v>
      </c>
      <c r="C1527" t="s">
        <v>1407</v>
      </c>
      <c r="D1527" t="s">
        <v>82</v>
      </c>
      <c r="E1527" t="s">
        <v>12</v>
      </c>
      <c r="F1527" t="str">
        <f>"00339931"</f>
        <v>00339931</v>
      </c>
      <c r="G1527">
        <v>16.5</v>
      </c>
      <c r="H1527">
        <v>0</v>
      </c>
      <c r="I1527">
        <v>0</v>
      </c>
      <c r="J1527">
        <v>20</v>
      </c>
      <c r="K1527">
        <v>20</v>
      </c>
      <c r="N1527">
        <v>3</v>
      </c>
      <c r="O1527">
        <v>3</v>
      </c>
      <c r="P1527">
        <v>4</v>
      </c>
      <c r="Q1527">
        <v>0</v>
      </c>
      <c r="R1527">
        <v>43.5</v>
      </c>
      <c r="S1527">
        <v>0</v>
      </c>
      <c r="T1527">
        <v>0</v>
      </c>
      <c r="U1527">
        <v>0</v>
      </c>
      <c r="V1527">
        <v>0</v>
      </c>
      <c r="X1527">
        <v>43.5</v>
      </c>
    </row>
    <row r="1528" spans="1:24" ht="15">
      <c r="A1528">
        <v>1521</v>
      </c>
      <c r="B1528">
        <v>37616</v>
      </c>
      <c r="C1528" t="s">
        <v>1414</v>
      </c>
      <c r="D1528" t="s">
        <v>75</v>
      </c>
      <c r="E1528" t="s">
        <v>27</v>
      </c>
      <c r="F1528" t="str">
        <f>"00557666"</f>
        <v>00557666</v>
      </c>
      <c r="G1528">
        <v>21.28</v>
      </c>
      <c r="H1528">
        <v>0</v>
      </c>
      <c r="I1528">
        <v>0</v>
      </c>
      <c r="J1528">
        <v>0</v>
      </c>
      <c r="K1528">
        <v>0</v>
      </c>
      <c r="L1528">
        <v>7</v>
      </c>
      <c r="M1528">
        <v>5</v>
      </c>
      <c r="O1528">
        <v>12</v>
      </c>
      <c r="P1528">
        <v>4</v>
      </c>
      <c r="Q1528">
        <v>0</v>
      </c>
      <c r="R1528">
        <v>37.28</v>
      </c>
      <c r="S1528">
        <v>0</v>
      </c>
      <c r="T1528">
        <v>0</v>
      </c>
      <c r="U1528">
        <v>6</v>
      </c>
      <c r="V1528">
        <v>0</v>
      </c>
      <c r="X1528">
        <v>43.28</v>
      </c>
    </row>
    <row r="1529" spans="1:24" ht="15">
      <c r="A1529">
        <v>1522</v>
      </c>
      <c r="B1529">
        <v>108001</v>
      </c>
      <c r="C1529" t="s">
        <v>1415</v>
      </c>
      <c r="D1529" t="s">
        <v>113</v>
      </c>
      <c r="E1529" t="s">
        <v>139</v>
      </c>
      <c r="F1529" t="str">
        <f>"00595993"</f>
        <v>00595993</v>
      </c>
      <c r="G1529">
        <v>20.25</v>
      </c>
      <c r="H1529">
        <v>0</v>
      </c>
      <c r="I1529">
        <v>0</v>
      </c>
      <c r="J1529">
        <v>20</v>
      </c>
      <c r="K1529">
        <v>20</v>
      </c>
      <c r="N1529">
        <v>3</v>
      </c>
      <c r="O1529">
        <v>3</v>
      </c>
      <c r="P1529">
        <v>0</v>
      </c>
      <c r="Q1529">
        <v>0</v>
      </c>
      <c r="R1529">
        <v>43.25</v>
      </c>
      <c r="S1529">
        <v>0</v>
      </c>
      <c r="T1529">
        <v>0</v>
      </c>
      <c r="U1529">
        <v>0</v>
      </c>
      <c r="V1529">
        <v>0</v>
      </c>
      <c r="X1529">
        <v>43.25</v>
      </c>
    </row>
    <row r="1530" spans="1:24" ht="15">
      <c r="A1530">
        <v>1523</v>
      </c>
      <c r="B1530">
        <v>69490</v>
      </c>
      <c r="C1530" t="s">
        <v>1416</v>
      </c>
      <c r="D1530" t="s">
        <v>683</v>
      </c>
      <c r="E1530" t="s">
        <v>17</v>
      </c>
      <c r="F1530" t="str">
        <f>"200911000514"</f>
        <v>200911000514</v>
      </c>
      <c r="G1530">
        <v>16.25</v>
      </c>
      <c r="H1530">
        <v>0</v>
      </c>
      <c r="I1530">
        <v>0</v>
      </c>
      <c r="J1530">
        <v>20</v>
      </c>
      <c r="K1530">
        <v>20</v>
      </c>
      <c r="N1530">
        <v>3</v>
      </c>
      <c r="O1530">
        <v>3</v>
      </c>
      <c r="P1530">
        <v>4</v>
      </c>
      <c r="Q1530">
        <v>0</v>
      </c>
      <c r="R1530">
        <v>43.25</v>
      </c>
      <c r="S1530">
        <v>0</v>
      </c>
      <c r="T1530">
        <v>0</v>
      </c>
      <c r="U1530">
        <v>0</v>
      </c>
      <c r="V1530">
        <v>0</v>
      </c>
      <c r="X1530">
        <v>43.25</v>
      </c>
    </row>
    <row r="1531" spans="1:24" ht="15">
      <c r="A1531">
        <v>1524</v>
      </c>
      <c r="B1531">
        <v>26135</v>
      </c>
      <c r="C1531" t="s">
        <v>1417</v>
      </c>
      <c r="D1531" t="s">
        <v>29</v>
      </c>
      <c r="E1531" t="s">
        <v>21</v>
      </c>
      <c r="F1531" t="str">
        <f>"00463663"</f>
        <v>00463663</v>
      </c>
      <c r="G1531">
        <v>16.23</v>
      </c>
      <c r="H1531">
        <v>0</v>
      </c>
      <c r="I1531">
        <v>0</v>
      </c>
      <c r="J1531">
        <v>20</v>
      </c>
      <c r="K1531">
        <v>20</v>
      </c>
      <c r="N1531">
        <v>3</v>
      </c>
      <c r="O1531">
        <v>3</v>
      </c>
      <c r="P1531">
        <v>4</v>
      </c>
      <c r="Q1531">
        <v>0</v>
      </c>
      <c r="R1531">
        <v>43.23</v>
      </c>
      <c r="S1531">
        <v>0</v>
      </c>
      <c r="T1531">
        <v>0</v>
      </c>
      <c r="U1531">
        <v>0</v>
      </c>
      <c r="V1531">
        <v>0</v>
      </c>
      <c r="X1531">
        <v>43.23</v>
      </c>
    </row>
    <row r="1532" spans="1:24" ht="15">
      <c r="A1532">
        <v>1525</v>
      </c>
      <c r="B1532">
        <v>83310</v>
      </c>
      <c r="C1532" t="s">
        <v>1418</v>
      </c>
      <c r="D1532" t="s">
        <v>182</v>
      </c>
      <c r="E1532" t="s">
        <v>17</v>
      </c>
      <c r="F1532" t="str">
        <f>"00638484"</f>
        <v>00638484</v>
      </c>
      <c r="G1532">
        <v>20.15</v>
      </c>
      <c r="H1532">
        <v>0</v>
      </c>
      <c r="I1532">
        <v>0</v>
      </c>
      <c r="J1532">
        <v>20</v>
      </c>
      <c r="K1532">
        <v>20</v>
      </c>
      <c r="O1532">
        <v>0</v>
      </c>
      <c r="P1532">
        <v>0</v>
      </c>
      <c r="Q1532">
        <v>0</v>
      </c>
      <c r="R1532">
        <v>40.15</v>
      </c>
      <c r="S1532">
        <v>0</v>
      </c>
      <c r="T1532">
        <v>0</v>
      </c>
      <c r="U1532">
        <v>3</v>
      </c>
      <c r="V1532">
        <v>0</v>
      </c>
      <c r="X1532">
        <v>43.15</v>
      </c>
    </row>
    <row r="1533" spans="1:24" ht="15">
      <c r="A1533">
        <v>1526</v>
      </c>
      <c r="B1533">
        <v>27722</v>
      </c>
      <c r="C1533" t="s">
        <v>1422</v>
      </c>
      <c r="D1533" t="s">
        <v>1034</v>
      </c>
      <c r="E1533" t="s">
        <v>111</v>
      </c>
      <c r="F1533" t="str">
        <f>"00023363"</f>
        <v>00023363</v>
      </c>
      <c r="G1533">
        <v>16.03</v>
      </c>
      <c r="H1533">
        <v>0</v>
      </c>
      <c r="I1533">
        <v>0</v>
      </c>
      <c r="J1533">
        <v>20</v>
      </c>
      <c r="K1533">
        <v>20</v>
      </c>
      <c r="N1533">
        <v>3</v>
      </c>
      <c r="O1533">
        <v>3</v>
      </c>
      <c r="P1533">
        <v>4</v>
      </c>
      <c r="Q1533">
        <v>0</v>
      </c>
      <c r="R1533">
        <v>43.03</v>
      </c>
      <c r="S1533">
        <v>0</v>
      </c>
      <c r="T1533">
        <v>0</v>
      </c>
      <c r="U1533">
        <v>0</v>
      </c>
      <c r="V1533">
        <v>0</v>
      </c>
      <c r="X1533">
        <v>43.03</v>
      </c>
    </row>
    <row r="1534" spans="1:24" ht="15">
      <c r="A1534">
        <v>1527</v>
      </c>
      <c r="B1534">
        <v>86384</v>
      </c>
      <c r="C1534" t="s">
        <v>1424</v>
      </c>
      <c r="D1534" t="s">
        <v>35</v>
      </c>
      <c r="E1534" t="s">
        <v>27</v>
      </c>
      <c r="F1534" t="str">
        <f>"00582937"</f>
        <v>00582937</v>
      </c>
      <c r="G1534">
        <v>15.75</v>
      </c>
      <c r="H1534">
        <v>0</v>
      </c>
      <c r="I1534">
        <v>0</v>
      </c>
      <c r="J1534">
        <v>20</v>
      </c>
      <c r="K1534">
        <v>20</v>
      </c>
      <c r="N1534">
        <v>3</v>
      </c>
      <c r="O1534">
        <v>3</v>
      </c>
      <c r="P1534">
        <v>4</v>
      </c>
      <c r="Q1534">
        <v>0</v>
      </c>
      <c r="R1534">
        <v>42.75</v>
      </c>
      <c r="S1534">
        <v>0</v>
      </c>
      <c r="T1534">
        <v>0</v>
      </c>
      <c r="U1534">
        <v>0</v>
      </c>
      <c r="V1534">
        <v>0</v>
      </c>
      <c r="X1534">
        <v>42.75</v>
      </c>
    </row>
    <row r="1535" spans="1:24" ht="15">
      <c r="A1535">
        <v>1528</v>
      </c>
      <c r="B1535">
        <v>8473</v>
      </c>
      <c r="C1535" t="s">
        <v>1427</v>
      </c>
      <c r="D1535" t="s">
        <v>1428</v>
      </c>
      <c r="E1535" t="s">
        <v>465</v>
      </c>
      <c r="F1535" t="str">
        <f>"00548664"</f>
        <v>00548664</v>
      </c>
      <c r="G1535">
        <v>15.68</v>
      </c>
      <c r="H1535">
        <v>0</v>
      </c>
      <c r="I1535">
        <v>0</v>
      </c>
      <c r="J1535">
        <v>20</v>
      </c>
      <c r="K1535">
        <v>20</v>
      </c>
      <c r="N1535">
        <v>3</v>
      </c>
      <c r="O1535">
        <v>3</v>
      </c>
      <c r="P1535">
        <v>4</v>
      </c>
      <c r="Q1535">
        <v>0</v>
      </c>
      <c r="R1535">
        <v>42.68</v>
      </c>
      <c r="S1535">
        <v>0</v>
      </c>
      <c r="T1535">
        <v>0</v>
      </c>
      <c r="U1535">
        <v>0</v>
      </c>
      <c r="V1535">
        <v>0</v>
      </c>
      <c r="X1535">
        <v>42.68</v>
      </c>
    </row>
    <row r="1536" spans="1:24" ht="15">
      <c r="A1536">
        <v>1529</v>
      </c>
      <c r="B1536">
        <v>15635</v>
      </c>
      <c r="C1536" t="s">
        <v>1429</v>
      </c>
      <c r="D1536" t="s">
        <v>391</v>
      </c>
      <c r="E1536" t="s">
        <v>21</v>
      </c>
      <c r="F1536" t="str">
        <f>"00173923"</f>
        <v>00173923</v>
      </c>
      <c r="G1536">
        <v>15.58</v>
      </c>
      <c r="H1536">
        <v>0</v>
      </c>
      <c r="I1536">
        <v>0</v>
      </c>
      <c r="J1536">
        <v>20</v>
      </c>
      <c r="K1536">
        <v>20</v>
      </c>
      <c r="N1536">
        <v>3</v>
      </c>
      <c r="O1536">
        <v>3</v>
      </c>
      <c r="P1536">
        <v>4</v>
      </c>
      <c r="Q1536">
        <v>0</v>
      </c>
      <c r="R1536">
        <v>42.58</v>
      </c>
      <c r="S1536">
        <v>0</v>
      </c>
      <c r="T1536">
        <v>0</v>
      </c>
      <c r="U1536">
        <v>0</v>
      </c>
      <c r="V1536">
        <v>0</v>
      </c>
      <c r="X1536">
        <v>42.58</v>
      </c>
    </row>
    <row r="1537" spans="1:24" ht="15">
      <c r="A1537">
        <v>1530</v>
      </c>
      <c r="B1537">
        <v>31494</v>
      </c>
      <c r="C1537" t="s">
        <v>1430</v>
      </c>
      <c r="D1537" t="s">
        <v>1431</v>
      </c>
      <c r="E1537" t="s">
        <v>53</v>
      </c>
      <c r="F1537" t="str">
        <f>"00467974"</f>
        <v>00467974</v>
      </c>
      <c r="G1537">
        <v>19.55</v>
      </c>
      <c r="H1537">
        <v>0</v>
      </c>
      <c r="I1537">
        <v>0</v>
      </c>
      <c r="J1537">
        <v>20</v>
      </c>
      <c r="K1537">
        <v>20</v>
      </c>
      <c r="O1537">
        <v>0</v>
      </c>
      <c r="P1537">
        <v>0</v>
      </c>
      <c r="Q1537">
        <v>0</v>
      </c>
      <c r="R1537">
        <v>39.55</v>
      </c>
      <c r="S1537">
        <v>3</v>
      </c>
      <c r="T1537">
        <v>3</v>
      </c>
      <c r="U1537">
        <v>0</v>
      </c>
      <c r="V1537">
        <v>0</v>
      </c>
      <c r="X1537">
        <v>42.55</v>
      </c>
    </row>
    <row r="1538" spans="1:24" ht="15">
      <c r="A1538">
        <v>1531</v>
      </c>
      <c r="B1538">
        <v>22088</v>
      </c>
      <c r="C1538" t="s">
        <v>1432</v>
      </c>
      <c r="D1538" t="s">
        <v>273</v>
      </c>
      <c r="E1538" t="s">
        <v>289</v>
      </c>
      <c r="F1538" t="str">
        <f>"201511032805"</f>
        <v>201511032805</v>
      </c>
      <c r="G1538">
        <v>15.5</v>
      </c>
      <c r="H1538">
        <v>0</v>
      </c>
      <c r="I1538">
        <v>0</v>
      </c>
      <c r="J1538">
        <v>20</v>
      </c>
      <c r="K1538">
        <v>20</v>
      </c>
      <c r="N1538">
        <v>3</v>
      </c>
      <c r="O1538">
        <v>3</v>
      </c>
      <c r="P1538">
        <v>4</v>
      </c>
      <c r="Q1538">
        <v>0</v>
      </c>
      <c r="R1538">
        <v>42.5</v>
      </c>
      <c r="S1538">
        <v>0</v>
      </c>
      <c r="T1538">
        <v>0</v>
      </c>
      <c r="U1538">
        <v>0</v>
      </c>
      <c r="V1538">
        <v>0</v>
      </c>
      <c r="X1538">
        <v>42.5</v>
      </c>
    </row>
    <row r="1539" spans="1:24" ht="15">
      <c r="A1539">
        <v>1532</v>
      </c>
      <c r="B1539">
        <v>2066</v>
      </c>
      <c r="C1539" t="s">
        <v>623</v>
      </c>
      <c r="D1539" t="s">
        <v>273</v>
      </c>
      <c r="E1539" t="s">
        <v>1435</v>
      </c>
      <c r="F1539" t="str">
        <f>"00264860"</f>
        <v>00264860</v>
      </c>
      <c r="G1539">
        <v>15.33</v>
      </c>
      <c r="H1539">
        <v>0</v>
      </c>
      <c r="I1539">
        <v>0</v>
      </c>
      <c r="J1539">
        <v>20</v>
      </c>
      <c r="K1539">
        <v>20</v>
      </c>
      <c r="N1539">
        <v>3</v>
      </c>
      <c r="O1539">
        <v>3</v>
      </c>
      <c r="P1539">
        <v>4</v>
      </c>
      <c r="Q1539">
        <v>0</v>
      </c>
      <c r="R1539">
        <v>42.33</v>
      </c>
      <c r="S1539">
        <v>0</v>
      </c>
      <c r="T1539">
        <v>0</v>
      </c>
      <c r="U1539">
        <v>0</v>
      </c>
      <c r="V1539">
        <v>0</v>
      </c>
      <c r="X1539">
        <v>42.33</v>
      </c>
    </row>
    <row r="1540" spans="1:24" ht="15">
      <c r="A1540">
        <v>1533</v>
      </c>
      <c r="B1540">
        <v>45809</v>
      </c>
      <c r="C1540" t="s">
        <v>1436</v>
      </c>
      <c r="D1540" t="s">
        <v>90</v>
      </c>
      <c r="E1540" t="s">
        <v>124</v>
      </c>
      <c r="F1540" t="str">
        <f>"200806000188"</f>
        <v>200806000188</v>
      </c>
      <c r="G1540">
        <v>18.2</v>
      </c>
      <c r="H1540">
        <v>7</v>
      </c>
      <c r="I1540">
        <v>0</v>
      </c>
      <c r="J1540">
        <v>0</v>
      </c>
      <c r="K1540">
        <v>0</v>
      </c>
      <c r="L1540">
        <v>7</v>
      </c>
      <c r="O1540">
        <v>7</v>
      </c>
      <c r="P1540">
        <v>4</v>
      </c>
      <c r="Q1540">
        <v>0</v>
      </c>
      <c r="R1540">
        <v>36.2</v>
      </c>
      <c r="S1540">
        <v>0</v>
      </c>
      <c r="T1540">
        <v>0</v>
      </c>
      <c r="U1540">
        <v>6</v>
      </c>
      <c r="V1540">
        <v>0</v>
      </c>
      <c r="X1540">
        <v>42.2</v>
      </c>
    </row>
    <row r="1541" spans="1:24" ht="15">
      <c r="A1541">
        <v>1534</v>
      </c>
      <c r="B1541">
        <v>6466</v>
      </c>
      <c r="C1541" t="s">
        <v>1440</v>
      </c>
      <c r="D1541" t="s">
        <v>173</v>
      </c>
      <c r="E1541" t="s">
        <v>131</v>
      </c>
      <c r="F1541" t="str">
        <f>"00569129"</f>
        <v>00569129</v>
      </c>
      <c r="G1541">
        <v>16.88</v>
      </c>
      <c r="H1541">
        <v>0</v>
      </c>
      <c r="I1541">
        <v>0</v>
      </c>
      <c r="J1541">
        <v>0</v>
      </c>
      <c r="K1541">
        <v>0</v>
      </c>
      <c r="L1541">
        <v>7</v>
      </c>
      <c r="O1541">
        <v>7</v>
      </c>
      <c r="P1541">
        <v>0</v>
      </c>
      <c r="Q1541">
        <v>0</v>
      </c>
      <c r="R1541">
        <v>23.88</v>
      </c>
      <c r="S1541">
        <v>9</v>
      </c>
      <c r="T1541">
        <v>9</v>
      </c>
      <c r="U1541">
        <v>9</v>
      </c>
      <c r="V1541">
        <v>0</v>
      </c>
      <c r="X1541">
        <v>41.88</v>
      </c>
    </row>
    <row r="1542" spans="1:24" ht="15">
      <c r="A1542">
        <v>1535</v>
      </c>
      <c r="B1542">
        <v>87875</v>
      </c>
      <c r="C1542" t="s">
        <v>1450</v>
      </c>
      <c r="D1542" t="s">
        <v>168</v>
      </c>
      <c r="E1542" t="s">
        <v>1451</v>
      </c>
      <c r="F1542" t="str">
        <f>"00632689"</f>
        <v>00632689</v>
      </c>
      <c r="G1542">
        <v>17.5</v>
      </c>
      <c r="H1542">
        <v>0</v>
      </c>
      <c r="I1542">
        <v>0</v>
      </c>
      <c r="J1542">
        <v>20</v>
      </c>
      <c r="K1542">
        <v>20</v>
      </c>
      <c r="O1542">
        <v>0</v>
      </c>
      <c r="P1542">
        <v>4</v>
      </c>
      <c r="Q1542">
        <v>0</v>
      </c>
      <c r="R1542">
        <v>41.5</v>
      </c>
      <c r="S1542">
        <v>0</v>
      </c>
      <c r="T1542">
        <v>0</v>
      </c>
      <c r="U1542">
        <v>0</v>
      </c>
      <c r="V1542">
        <v>0</v>
      </c>
      <c r="X1542">
        <v>41.5</v>
      </c>
    </row>
    <row r="1543" spans="1:24" ht="15">
      <c r="A1543">
        <v>1536</v>
      </c>
      <c r="B1543">
        <v>28421</v>
      </c>
      <c r="C1543" t="s">
        <v>1454</v>
      </c>
      <c r="D1543" t="s">
        <v>454</v>
      </c>
      <c r="E1543" t="s">
        <v>27</v>
      </c>
      <c r="F1543" t="str">
        <f>"00612230"</f>
        <v>00612230</v>
      </c>
      <c r="G1543">
        <v>18.33</v>
      </c>
      <c r="H1543">
        <v>0</v>
      </c>
      <c r="I1543">
        <v>0</v>
      </c>
      <c r="J1543">
        <v>20</v>
      </c>
      <c r="K1543">
        <v>20</v>
      </c>
      <c r="O1543">
        <v>0</v>
      </c>
      <c r="P1543">
        <v>0</v>
      </c>
      <c r="Q1543">
        <v>0</v>
      </c>
      <c r="R1543">
        <v>38.33</v>
      </c>
      <c r="S1543">
        <v>0</v>
      </c>
      <c r="T1543">
        <v>0</v>
      </c>
      <c r="U1543">
        <v>3</v>
      </c>
      <c r="V1543">
        <v>0</v>
      </c>
      <c r="X1543">
        <v>41.33</v>
      </c>
    </row>
    <row r="1544" spans="1:24" ht="15">
      <c r="A1544">
        <v>1537</v>
      </c>
      <c r="B1544">
        <v>76690</v>
      </c>
      <c r="C1544" t="s">
        <v>1455</v>
      </c>
      <c r="D1544" t="s">
        <v>27</v>
      </c>
      <c r="E1544" t="s">
        <v>12</v>
      </c>
      <c r="F1544" t="str">
        <f>"00636072"</f>
        <v>00636072</v>
      </c>
      <c r="G1544">
        <v>18.05</v>
      </c>
      <c r="H1544">
        <v>0</v>
      </c>
      <c r="I1544">
        <v>0</v>
      </c>
      <c r="J1544">
        <v>20</v>
      </c>
      <c r="K1544">
        <v>20</v>
      </c>
      <c r="N1544">
        <v>3</v>
      </c>
      <c r="O1544">
        <v>3</v>
      </c>
      <c r="P1544">
        <v>0</v>
      </c>
      <c r="Q1544">
        <v>0</v>
      </c>
      <c r="R1544">
        <v>41.05</v>
      </c>
      <c r="S1544">
        <v>0</v>
      </c>
      <c r="T1544">
        <v>0</v>
      </c>
      <c r="U1544">
        <v>0</v>
      </c>
      <c r="V1544">
        <v>0</v>
      </c>
      <c r="X1544">
        <v>41.05</v>
      </c>
    </row>
    <row r="1545" spans="1:24" ht="15">
      <c r="A1545">
        <v>1538</v>
      </c>
      <c r="B1545">
        <v>106682</v>
      </c>
      <c r="C1545" t="s">
        <v>1457</v>
      </c>
      <c r="D1545" t="s">
        <v>23</v>
      </c>
      <c r="E1545" t="s">
        <v>91</v>
      </c>
      <c r="F1545" t="str">
        <f>"00641237"</f>
        <v>00641237</v>
      </c>
      <c r="G1545">
        <v>20.85</v>
      </c>
      <c r="H1545">
        <v>0</v>
      </c>
      <c r="I1545">
        <v>0</v>
      </c>
      <c r="J1545">
        <v>20</v>
      </c>
      <c r="K1545">
        <v>20</v>
      </c>
      <c r="O1545">
        <v>0</v>
      </c>
      <c r="P1545">
        <v>0</v>
      </c>
      <c r="Q1545">
        <v>0</v>
      </c>
      <c r="R1545">
        <v>40.85</v>
      </c>
      <c r="S1545">
        <v>0</v>
      </c>
      <c r="T1545">
        <v>0</v>
      </c>
      <c r="U1545">
        <v>0</v>
      </c>
      <c r="V1545">
        <v>0</v>
      </c>
      <c r="X1545">
        <v>40.85</v>
      </c>
    </row>
    <row r="1546" spans="1:24" ht="15">
      <c r="A1546">
        <v>1539</v>
      </c>
      <c r="B1546">
        <v>86682</v>
      </c>
      <c r="C1546" t="s">
        <v>1091</v>
      </c>
      <c r="D1546" t="s">
        <v>662</v>
      </c>
      <c r="E1546" t="s">
        <v>17</v>
      </c>
      <c r="F1546" t="str">
        <f>"00576567"</f>
        <v>00576567</v>
      </c>
      <c r="G1546">
        <v>20.8</v>
      </c>
      <c r="H1546">
        <v>7</v>
      </c>
      <c r="I1546">
        <v>0</v>
      </c>
      <c r="J1546">
        <v>0</v>
      </c>
      <c r="K1546">
        <v>0</v>
      </c>
      <c r="N1546">
        <v>6</v>
      </c>
      <c r="O1546">
        <v>6</v>
      </c>
      <c r="P1546">
        <v>4</v>
      </c>
      <c r="Q1546">
        <v>0</v>
      </c>
      <c r="R1546">
        <v>37.8</v>
      </c>
      <c r="S1546">
        <v>0</v>
      </c>
      <c r="T1546">
        <v>0</v>
      </c>
      <c r="U1546">
        <v>3</v>
      </c>
      <c r="V1546">
        <v>0</v>
      </c>
      <c r="X1546">
        <v>40.8</v>
      </c>
    </row>
    <row r="1547" spans="1:24" ht="15">
      <c r="A1547">
        <v>1540</v>
      </c>
      <c r="B1547">
        <v>10616</v>
      </c>
      <c r="C1547" t="s">
        <v>1460</v>
      </c>
      <c r="D1547" t="s">
        <v>53</v>
      </c>
      <c r="E1547" t="s">
        <v>39</v>
      </c>
      <c r="F1547" t="str">
        <f>"00471904"</f>
        <v>00471904</v>
      </c>
      <c r="G1547">
        <v>16.6</v>
      </c>
      <c r="H1547">
        <v>0</v>
      </c>
      <c r="I1547">
        <v>0</v>
      </c>
      <c r="J1547">
        <v>20</v>
      </c>
      <c r="K1547">
        <v>20</v>
      </c>
      <c r="O1547">
        <v>0</v>
      </c>
      <c r="P1547">
        <v>4</v>
      </c>
      <c r="Q1547">
        <v>0</v>
      </c>
      <c r="R1547">
        <v>40.6</v>
      </c>
      <c r="S1547">
        <v>0</v>
      </c>
      <c r="T1547">
        <v>0</v>
      </c>
      <c r="U1547">
        <v>0</v>
      </c>
      <c r="V1547">
        <v>0</v>
      </c>
      <c r="X1547">
        <v>40.6</v>
      </c>
    </row>
    <row r="1548" spans="1:24" ht="15">
      <c r="A1548">
        <v>1541</v>
      </c>
      <c r="B1548">
        <v>76256</v>
      </c>
      <c r="C1548" t="s">
        <v>1463</v>
      </c>
      <c r="D1548" t="s">
        <v>27</v>
      </c>
      <c r="E1548" t="s">
        <v>30</v>
      </c>
      <c r="F1548" t="str">
        <f>"00369194"</f>
        <v>00369194</v>
      </c>
      <c r="G1548">
        <v>16.45</v>
      </c>
      <c r="H1548">
        <v>0</v>
      </c>
      <c r="I1548">
        <v>0</v>
      </c>
      <c r="J1548">
        <v>20</v>
      </c>
      <c r="K1548">
        <v>20</v>
      </c>
      <c r="O1548">
        <v>0</v>
      </c>
      <c r="P1548">
        <v>4</v>
      </c>
      <c r="Q1548">
        <v>0</v>
      </c>
      <c r="R1548">
        <v>40.45</v>
      </c>
      <c r="S1548">
        <v>0</v>
      </c>
      <c r="T1548">
        <v>0</v>
      </c>
      <c r="U1548">
        <v>0</v>
      </c>
      <c r="V1548">
        <v>0</v>
      </c>
      <c r="X1548">
        <v>40.45</v>
      </c>
    </row>
    <row r="1549" spans="1:24" ht="15">
      <c r="A1549">
        <v>1542</v>
      </c>
      <c r="B1549">
        <v>70638</v>
      </c>
      <c r="C1549" t="s">
        <v>1464</v>
      </c>
      <c r="D1549" t="s">
        <v>188</v>
      </c>
      <c r="E1549" t="s">
        <v>95</v>
      </c>
      <c r="F1549" t="str">
        <f>"201406001753"</f>
        <v>201406001753</v>
      </c>
      <c r="G1549">
        <v>19.38</v>
      </c>
      <c r="H1549">
        <v>7</v>
      </c>
      <c r="I1549">
        <v>0</v>
      </c>
      <c r="J1549">
        <v>0</v>
      </c>
      <c r="K1549">
        <v>0</v>
      </c>
      <c r="L1549">
        <v>7</v>
      </c>
      <c r="O1549">
        <v>7</v>
      </c>
      <c r="P1549">
        <v>4</v>
      </c>
      <c r="Q1549">
        <v>0</v>
      </c>
      <c r="R1549">
        <v>37.38</v>
      </c>
      <c r="S1549">
        <v>0</v>
      </c>
      <c r="T1549">
        <v>0</v>
      </c>
      <c r="U1549">
        <v>3</v>
      </c>
      <c r="V1549">
        <v>0</v>
      </c>
      <c r="X1549">
        <v>40.38</v>
      </c>
    </row>
    <row r="1550" spans="1:24" ht="15">
      <c r="A1550">
        <v>1543</v>
      </c>
      <c r="B1550">
        <v>61822</v>
      </c>
      <c r="C1550" t="s">
        <v>1465</v>
      </c>
      <c r="D1550" t="s">
        <v>12</v>
      </c>
      <c r="E1550" t="s">
        <v>12</v>
      </c>
      <c r="F1550" t="str">
        <f>"00008233"</f>
        <v>00008233</v>
      </c>
      <c r="G1550">
        <v>16.25</v>
      </c>
      <c r="H1550">
        <v>0</v>
      </c>
      <c r="I1550">
        <v>0</v>
      </c>
      <c r="J1550">
        <v>20</v>
      </c>
      <c r="K1550">
        <v>20</v>
      </c>
      <c r="O1550">
        <v>0</v>
      </c>
      <c r="P1550">
        <v>4</v>
      </c>
      <c r="Q1550">
        <v>0</v>
      </c>
      <c r="R1550">
        <v>40.25</v>
      </c>
      <c r="S1550">
        <v>0</v>
      </c>
      <c r="T1550">
        <v>0</v>
      </c>
      <c r="U1550">
        <v>0</v>
      </c>
      <c r="V1550">
        <v>0</v>
      </c>
      <c r="X1550">
        <v>40.25</v>
      </c>
    </row>
    <row r="1551" spans="1:24" ht="15">
      <c r="A1551">
        <v>1544</v>
      </c>
      <c r="B1551">
        <v>89659</v>
      </c>
      <c r="C1551" t="s">
        <v>1466</v>
      </c>
      <c r="D1551" t="s">
        <v>928</v>
      </c>
      <c r="E1551" t="s">
        <v>120</v>
      </c>
      <c r="F1551" t="str">
        <f>"00359581"</f>
        <v>00359581</v>
      </c>
      <c r="G1551">
        <v>20.13</v>
      </c>
      <c r="H1551">
        <v>0</v>
      </c>
      <c r="I1551">
        <v>0</v>
      </c>
      <c r="J1551">
        <v>0</v>
      </c>
      <c r="K1551">
        <v>0</v>
      </c>
      <c r="L1551">
        <v>7</v>
      </c>
      <c r="N1551">
        <v>3</v>
      </c>
      <c r="O1551">
        <v>10</v>
      </c>
      <c r="P1551">
        <v>4</v>
      </c>
      <c r="Q1551">
        <v>0</v>
      </c>
      <c r="R1551">
        <v>34.13</v>
      </c>
      <c r="S1551">
        <v>0</v>
      </c>
      <c r="T1551">
        <v>0</v>
      </c>
      <c r="U1551">
        <v>6</v>
      </c>
      <c r="V1551">
        <v>0</v>
      </c>
      <c r="X1551">
        <v>40.13</v>
      </c>
    </row>
    <row r="1552" spans="1:24" ht="15">
      <c r="A1552">
        <v>1545</v>
      </c>
      <c r="B1552">
        <v>26218</v>
      </c>
      <c r="C1552" t="s">
        <v>197</v>
      </c>
      <c r="D1552" t="s">
        <v>472</v>
      </c>
      <c r="E1552" t="s">
        <v>27</v>
      </c>
      <c r="F1552" t="str">
        <f>"201412004570"</f>
        <v>201412004570</v>
      </c>
      <c r="G1552">
        <v>15.75</v>
      </c>
      <c r="H1552">
        <v>0</v>
      </c>
      <c r="I1552">
        <v>0</v>
      </c>
      <c r="J1552">
        <v>0</v>
      </c>
      <c r="K1552">
        <v>0</v>
      </c>
      <c r="L1552">
        <v>14</v>
      </c>
      <c r="O1552">
        <v>14</v>
      </c>
      <c r="P1552">
        <v>4</v>
      </c>
      <c r="Q1552">
        <v>0</v>
      </c>
      <c r="R1552">
        <v>33.75</v>
      </c>
      <c r="S1552">
        <v>0</v>
      </c>
      <c r="T1552">
        <v>0</v>
      </c>
      <c r="U1552">
        <v>6</v>
      </c>
      <c r="V1552">
        <v>0</v>
      </c>
      <c r="X1552">
        <v>39.75</v>
      </c>
    </row>
    <row r="1553" spans="1:24" ht="15">
      <c r="A1553">
        <v>1546</v>
      </c>
      <c r="B1553">
        <v>91800</v>
      </c>
      <c r="C1553" t="s">
        <v>1470</v>
      </c>
      <c r="D1553" t="s">
        <v>391</v>
      </c>
      <c r="E1553" t="s">
        <v>12</v>
      </c>
      <c r="F1553" t="str">
        <f>"00295431"</f>
        <v>00295431</v>
      </c>
      <c r="G1553">
        <v>19.68</v>
      </c>
      <c r="H1553">
        <v>0</v>
      </c>
      <c r="I1553">
        <v>0</v>
      </c>
      <c r="J1553">
        <v>20</v>
      </c>
      <c r="K1553">
        <v>20</v>
      </c>
      <c r="O1553">
        <v>0</v>
      </c>
      <c r="P1553">
        <v>0</v>
      </c>
      <c r="Q1553">
        <v>0</v>
      </c>
      <c r="R1553">
        <v>39.68</v>
      </c>
      <c r="S1553">
        <v>0</v>
      </c>
      <c r="T1553">
        <v>0</v>
      </c>
      <c r="U1553">
        <v>0</v>
      </c>
      <c r="V1553">
        <v>0</v>
      </c>
      <c r="X1553">
        <v>39.68</v>
      </c>
    </row>
    <row r="1554" spans="1:24" ht="15">
      <c r="A1554">
        <v>1547</v>
      </c>
      <c r="B1554">
        <v>34353</v>
      </c>
      <c r="C1554" t="s">
        <v>1472</v>
      </c>
      <c r="D1554" t="s">
        <v>1279</v>
      </c>
      <c r="E1554" t="s">
        <v>12</v>
      </c>
      <c r="F1554" t="str">
        <f>"00344769"</f>
        <v>00344769</v>
      </c>
      <c r="G1554">
        <v>17.53</v>
      </c>
      <c r="H1554">
        <v>7</v>
      </c>
      <c r="I1554">
        <v>0</v>
      </c>
      <c r="J1554">
        <v>0</v>
      </c>
      <c r="K1554">
        <v>0</v>
      </c>
      <c r="M1554">
        <v>5</v>
      </c>
      <c r="O1554">
        <v>5</v>
      </c>
      <c r="P1554">
        <v>4</v>
      </c>
      <c r="Q1554">
        <v>0</v>
      </c>
      <c r="R1554">
        <v>33.53</v>
      </c>
      <c r="S1554">
        <v>0</v>
      </c>
      <c r="T1554">
        <v>0</v>
      </c>
      <c r="U1554">
        <v>6</v>
      </c>
      <c r="V1554">
        <v>0</v>
      </c>
      <c r="X1554">
        <v>39.53</v>
      </c>
    </row>
    <row r="1555" spans="1:24" ht="15">
      <c r="A1555">
        <v>1548</v>
      </c>
      <c r="B1555">
        <v>18369</v>
      </c>
      <c r="C1555" t="s">
        <v>1475</v>
      </c>
      <c r="D1555" t="s">
        <v>1476</v>
      </c>
      <c r="E1555" t="s">
        <v>113</v>
      </c>
      <c r="F1555" t="str">
        <f>"00478012"</f>
        <v>00478012</v>
      </c>
      <c r="G1555">
        <v>18.15</v>
      </c>
      <c r="H1555">
        <v>7</v>
      </c>
      <c r="I1555">
        <v>0</v>
      </c>
      <c r="J1555">
        <v>0</v>
      </c>
      <c r="K1555">
        <v>0</v>
      </c>
      <c r="L1555">
        <v>7</v>
      </c>
      <c r="O1555">
        <v>7</v>
      </c>
      <c r="P1555">
        <v>4</v>
      </c>
      <c r="Q1555">
        <v>0</v>
      </c>
      <c r="R1555">
        <v>36.15</v>
      </c>
      <c r="S1555">
        <v>0</v>
      </c>
      <c r="T1555">
        <v>0</v>
      </c>
      <c r="U1555">
        <v>3</v>
      </c>
      <c r="V1555">
        <v>0</v>
      </c>
      <c r="X1555">
        <v>39.15</v>
      </c>
    </row>
    <row r="1556" spans="1:24" ht="15">
      <c r="A1556">
        <v>1549</v>
      </c>
      <c r="B1556">
        <v>106722</v>
      </c>
      <c r="C1556" t="s">
        <v>1477</v>
      </c>
      <c r="D1556" t="s">
        <v>871</v>
      </c>
      <c r="E1556" t="s">
        <v>124</v>
      </c>
      <c r="F1556" t="str">
        <f>"201406017856"</f>
        <v>201406017856</v>
      </c>
      <c r="G1556">
        <v>19.05</v>
      </c>
      <c r="H1556">
        <v>0</v>
      </c>
      <c r="I1556">
        <v>0</v>
      </c>
      <c r="J1556">
        <v>20</v>
      </c>
      <c r="K1556">
        <v>20</v>
      </c>
      <c r="O1556">
        <v>0</v>
      </c>
      <c r="P1556">
        <v>0</v>
      </c>
      <c r="Q1556">
        <v>0</v>
      </c>
      <c r="R1556">
        <v>39.05</v>
      </c>
      <c r="S1556">
        <v>0</v>
      </c>
      <c r="T1556">
        <v>0</v>
      </c>
      <c r="U1556">
        <v>0</v>
      </c>
      <c r="V1556">
        <v>0</v>
      </c>
      <c r="X1556">
        <v>39.05</v>
      </c>
    </row>
    <row r="1557" spans="1:24" ht="15">
      <c r="A1557">
        <v>1550</v>
      </c>
      <c r="B1557">
        <v>72550</v>
      </c>
      <c r="C1557" t="s">
        <v>1478</v>
      </c>
      <c r="D1557" t="s">
        <v>563</v>
      </c>
      <c r="E1557" t="s">
        <v>1479</v>
      </c>
      <c r="F1557" t="str">
        <f>"00522691"</f>
        <v>00522691</v>
      </c>
      <c r="G1557">
        <v>19</v>
      </c>
      <c r="H1557">
        <v>0</v>
      </c>
      <c r="I1557">
        <v>0</v>
      </c>
      <c r="J1557">
        <v>20</v>
      </c>
      <c r="K1557">
        <v>20</v>
      </c>
      <c r="O1557">
        <v>0</v>
      </c>
      <c r="P1557">
        <v>0</v>
      </c>
      <c r="Q1557">
        <v>0</v>
      </c>
      <c r="R1557">
        <v>39</v>
      </c>
      <c r="S1557">
        <v>0</v>
      </c>
      <c r="T1557">
        <v>0</v>
      </c>
      <c r="U1557">
        <v>0</v>
      </c>
      <c r="V1557">
        <v>0</v>
      </c>
      <c r="X1557">
        <v>39</v>
      </c>
    </row>
    <row r="1558" spans="1:24" ht="15">
      <c r="A1558">
        <v>1551</v>
      </c>
      <c r="B1558">
        <v>106538</v>
      </c>
      <c r="C1558" t="s">
        <v>1480</v>
      </c>
      <c r="D1558" t="s">
        <v>1481</v>
      </c>
      <c r="E1558" t="s">
        <v>30</v>
      </c>
      <c r="F1558" t="str">
        <f>"00632514"</f>
        <v>00632514</v>
      </c>
      <c r="G1558">
        <v>18.88</v>
      </c>
      <c r="H1558">
        <v>0</v>
      </c>
      <c r="I1558">
        <v>0</v>
      </c>
      <c r="J1558">
        <v>20</v>
      </c>
      <c r="K1558">
        <v>20</v>
      </c>
      <c r="O1558">
        <v>0</v>
      </c>
      <c r="P1558">
        <v>0</v>
      </c>
      <c r="Q1558">
        <v>0</v>
      </c>
      <c r="R1558">
        <v>38.88</v>
      </c>
      <c r="S1558">
        <v>0</v>
      </c>
      <c r="T1558">
        <v>0</v>
      </c>
      <c r="U1558">
        <v>0</v>
      </c>
      <c r="V1558">
        <v>0</v>
      </c>
      <c r="X1558">
        <v>38.88</v>
      </c>
    </row>
    <row r="1559" spans="1:24" ht="15">
      <c r="A1559">
        <v>1552</v>
      </c>
      <c r="B1559">
        <v>111316</v>
      </c>
      <c r="C1559" t="s">
        <v>1483</v>
      </c>
      <c r="D1559" t="s">
        <v>46</v>
      </c>
      <c r="E1559" t="s">
        <v>21</v>
      </c>
      <c r="F1559" t="str">
        <f>"00599647"</f>
        <v>00599647</v>
      </c>
      <c r="G1559">
        <v>20.85</v>
      </c>
      <c r="H1559">
        <v>0</v>
      </c>
      <c r="I1559">
        <v>0</v>
      </c>
      <c r="J1559">
        <v>0</v>
      </c>
      <c r="K1559">
        <v>0</v>
      </c>
      <c r="L1559">
        <v>14</v>
      </c>
      <c r="O1559">
        <v>14</v>
      </c>
      <c r="P1559">
        <v>4</v>
      </c>
      <c r="Q1559">
        <v>0</v>
      </c>
      <c r="R1559">
        <v>38.85</v>
      </c>
      <c r="S1559">
        <v>0</v>
      </c>
      <c r="T1559">
        <v>0</v>
      </c>
      <c r="U1559">
        <v>0</v>
      </c>
      <c r="V1559">
        <v>0</v>
      </c>
      <c r="X1559">
        <v>38.85</v>
      </c>
    </row>
    <row r="1560" spans="1:24" ht="15">
      <c r="A1560">
        <v>1553</v>
      </c>
      <c r="B1560">
        <v>97509</v>
      </c>
      <c r="C1560" t="s">
        <v>1485</v>
      </c>
      <c r="D1560" t="s">
        <v>387</v>
      </c>
      <c r="E1560" t="s">
        <v>111</v>
      </c>
      <c r="F1560" t="str">
        <f>"00214499"</f>
        <v>00214499</v>
      </c>
      <c r="G1560">
        <v>16.75</v>
      </c>
      <c r="H1560">
        <v>0</v>
      </c>
      <c r="I1560">
        <v>0</v>
      </c>
      <c r="J1560">
        <v>0</v>
      </c>
      <c r="K1560">
        <v>0</v>
      </c>
      <c r="N1560">
        <v>3</v>
      </c>
      <c r="O1560">
        <v>3</v>
      </c>
      <c r="P1560">
        <v>4</v>
      </c>
      <c r="Q1560">
        <v>0</v>
      </c>
      <c r="R1560">
        <v>23.75</v>
      </c>
      <c r="S1560">
        <v>9</v>
      </c>
      <c r="T1560">
        <v>9</v>
      </c>
      <c r="U1560">
        <v>6</v>
      </c>
      <c r="V1560">
        <v>0</v>
      </c>
      <c r="X1560">
        <v>38.75</v>
      </c>
    </row>
    <row r="1561" spans="1:24" ht="15">
      <c r="A1561">
        <v>1554</v>
      </c>
      <c r="B1561">
        <v>80278</v>
      </c>
      <c r="C1561" t="s">
        <v>1486</v>
      </c>
      <c r="D1561" t="s">
        <v>454</v>
      </c>
      <c r="E1561" t="s">
        <v>27</v>
      </c>
      <c r="F1561" t="str">
        <f>"200911000226"</f>
        <v>200911000226</v>
      </c>
      <c r="G1561">
        <v>17.73</v>
      </c>
      <c r="H1561">
        <v>0</v>
      </c>
      <c r="I1561">
        <v>0</v>
      </c>
      <c r="J1561">
        <v>0</v>
      </c>
      <c r="K1561">
        <v>0</v>
      </c>
      <c r="L1561">
        <v>7</v>
      </c>
      <c r="M1561">
        <v>5</v>
      </c>
      <c r="O1561">
        <v>12</v>
      </c>
      <c r="P1561">
        <v>4</v>
      </c>
      <c r="Q1561">
        <v>2</v>
      </c>
      <c r="R1561">
        <v>35.73</v>
      </c>
      <c r="S1561">
        <v>0</v>
      </c>
      <c r="T1561">
        <v>0</v>
      </c>
      <c r="U1561">
        <v>3</v>
      </c>
      <c r="V1561">
        <v>0</v>
      </c>
      <c r="X1561">
        <v>38.73</v>
      </c>
    </row>
    <row r="1562" spans="1:24" ht="15">
      <c r="A1562">
        <v>1555</v>
      </c>
      <c r="B1562">
        <v>85385</v>
      </c>
      <c r="C1562" t="s">
        <v>1489</v>
      </c>
      <c r="D1562" t="s">
        <v>1490</v>
      </c>
      <c r="E1562" t="s">
        <v>27</v>
      </c>
      <c r="F1562" t="str">
        <f>"00469154"</f>
        <v>00469154</v>
      </c>
      <c r="G1562">
        <v>21.6</v>
      </c>
      <c r="H1562">
        <v>0</v>
      </c>
      <c r="I1562">
        <v>0</v>
      </c>
      <c r="J1562">
        <v>0</v>
      </c>
      <c r="K1562">
        <v>0</v>
      </c>
      <c r="L1562">
        <v>7</v>
      </c>
      <c r="O1562">
        <v>7</v>
      </c>
      <c r="P1562">
        <v>4</v>
      </c>
      <c r="Q1562">
        <v>0</v>
      </c>
      <c r="R1562">
        <v>32.6</v>
      </c>
      <c r="S1562">
        <v>0</v>
      </c>
      <c r="T1562">
        <v>0</v>
      </c>
      <c r="U1562">
        <v>6</v>
      </c>
      <c r="V1562">
        <v>0</v>
      </c>
      <c r="X1562">
        <v>38.6</v>
      </c>
    </row>
    <row r="1563" spans="1:24" ht="15">
      <c r="A1563">
        <v>1556</v>
      </c>
      <c r="B1563">
        <v>16644</v>
      </c>
      <c r="C1563" t="s">
        <v>1491</v>
      </c>
      <c r="D1563" t="s">
        <v>27</v>
      </c>
      <c r="E1563" t="s">
        <v>12</v>
      </c>
      <c r="F1563" t="str">
        <f>"00455342"</f>
        <v>00455342</v>
      </c>
      <c r="G1563">
        <v>18.53</v>
      </c>
      <c r="H1563">
        <v>0</v>
      </c>
      <c r="I1563">
        <v>0</v>
      </c>
      <c r="J1563">
        <v>0</v>
      </c>
      <c r="K1563">
        <v>0</v>
      </c>
      <c r="L1563">
        <v>7</v>
      </c>
      <c r="N1563">
        <v>3</v>
      </c>
      <c r="O1563">
        <v>10</v>
      </c>
      <c r="P1563">
        <v>4</v>
      </c>
      <c r="Q1563">
        <v>0</v>
      </c>
      <c r="R1563">
        <v>32.53</v>
      </c>
      <c r="S1563">
        <v>0</v>
      </c>
      <c r="T1563">
        <v>0</v>
      </c>
      <c r="U1563">
        <v>6</v>
      </c>
      <c r="V1563">
        <v>0</v>
      </c>
      <c r="X1563">
        <v>38.53</v>
      </c>
    </row>
    <row r="1564" spans="1:24" ht="15">
      <c r="A1564">
        <v>1557</v>
      </c>
      <c r="B1564">
        <v>1426</v>
      </c>
      <c r="C1564" t="s">
        <v>307</v>
      </c>
      <c r="D1564" t="s">
        <v>46</v>
      </c>
      <c r="E1564" t="s">
        <v>53</v>
      </c>
      <c r="F1564" t="str">
        <f>"00563431"</f>
        <v>00563431</v>
      </c>
      <c r="G1564">
        <v>12.5</v>
      </c>
      <c r="H1564">
        <v>0</v>
      </c>
      <c r="I1564">
        <v>0</v>
      </c>
      <c r="J1564">
        <v>0</v>
      </c>
      <c r="K1564">
        <v>0</v>
      </c>
      <c r="L1564">
        <v>7</v>
      </c>
      <c r="N1564">
        <v>3</v>
      </c>
      <c r="O1564">
        <v>10</v>
      </c>
      <c r="P1564">
        <v>4</v>
      </c>
      <c r="Q1564">
        <v>0</v>
      </c>
      <c r="R1564">
        <v>26.5</v>
      </c>
      <c r="S1564">
        <v>0</v>
      </c>
      <c r="T1564">
        <v>0</v>
      </c>
      <c r="U1564">
        <v>12</v>
      </c>
      <c r="V1564">
        <v>0</v>
      </c>
      <c r="X1564">
        <v>38.5</v>
      </c>
    </row>
    <row r="1565" spans="1:24" ht="15">
      <c r="A1565">
        <v>1558</v>
      </c>
      <c r="B1565">
        <v>105774</v>
      </c>
      <c r="C1565" t="s">
        <v>1492</v>
      </c>
      <c r="D1565" t="s">
        <v>12</v>
      </c>
      <c r="E1565" t="s">
        <v>21</v>
      </c>
      <c r="F1565" t="str">
        <f>"00297711"</f>
        <v>00297711</v>
      </c>
      <c r="G1565">
        <v>17.38</v>
      </c>
      <c r="H1565">
        <v>0</v>
      </c>
      <c r="I1565">
        <v>0</v>
      </c>
      <c r="J1565">
        <v>0</v>
      </c>
      <c r="K1565">
        <v>0</v>
      </c>
      <c r="L1565">
        <v>14</v>
      </c>
      <c r="O1565">
        <v>14</v>
      </c>
      <c r="P1565">
        <v>4</v>
      </c>
      <c r="Q1565">
        <v>0</v>
      </c>
      <c r="R1565">
        <v>35.38</v>
      </c>
      <c r="S1565">
        <v>0</v>
      </c>
      <c r="T1565">
        <v>0</v>
      </c>
      <c r="U1565">
        <v>3</v>
      </c>
      <c r="V1565">
        <v>0</v>
      </c>
      <c r="X1565">
        <v>38.38</v>
      </c>
    </row>
    <row r="1566" spans="1:24" ht="15">
      <c r="A1566">
        <v>1559</v>
      </c>
      <c r="B1566">
        <v>37661</v>
      </c>
      <c r="C1566" t="s">
        <v>1493</v>
      </c>
      <c r="D1566" t="s">
        <v>591</v>
      </c>
      <c r="E1566" t="s">
        <v>27</v>
      </c>
      <c r="F1566" t="str">
        <f>"00578744"</f>
        <v>00578744</v>
      </c>
      <c r="G1566">
        <v>18.3</v>
      </c>
      <c r="H1566">
        <v>0</v>
      </c>
      <c r="I1566">
        <v>0</v>
      </c>
      <c r="J1566">
        <v>20</v>
      </c>
      <c r="K1566">
        <v>20</v>
      </c>
      <c r="O1566">
        <v>0</v>
      </c>
      <c r="P1566">
        <v>0</v>
      </c>
      <c r="Q1566">
        <v>0</v>
      </c>
      <c r="R1566">
        <v>38.3</v>
      </c>
      <c r="S1566">
        <v>0</v>
      </c>
      <c r="T1566">
        <v>0</v>
      </c>
      <c r="U1566">
        <v>0</v>
      </c>
      <c r="V1566">
        <v>0</v>
      </c>
      <c r="X1566">
        <v>38.3</v>
      </c>
    </row>
    <row r="1567" spans="1:24" ht="15">
      <c r="A1567">
        <v>1560</v>
      </c>
      <c r="B1567">
        <v>78954</v>
      </c>
      <c r="C1567" t="s">
        <v>1494</v>
      </c>
      <c r="D1567" t="s">
        <v>17</v>
      </c>
      <c r="E1567" t="s">
        <v>12</v>
      </c>
      <c r="F1567" t="str">
        <f>"00336425"</f>
        <v>00336425</v>
      </c>
      <c r="G1567">
        <v>15.25</v>
      </c>
      <c r="H1567">
        <v>0</v>
      </c>
      <c r="I1567">
        <v>0</v>
      </c>
      <c r="J1567">
        <v>20</v>
      </c>
      <c r="K1567">
        <v>20</v>
      </c>
      <c r="N1567">
        <v>3</v>
      </c>
      <c r="O1567">
        <v>3</v>
      </c>
      <c r="P1567">
        <v>0</v>
      </c>
      <c r="Q1567">
        <v>0</v>
      </c>
      <c r="R1567">
        <v>38.25</v>
      </c>
      <c r="S1567">
        <v>0</v>
      </c>
      <c r="T1567">
        <v>0</v>
      </c>
      <c r="U1567">
        <v>0</v>
      </c>
      <c r="V1567">
        <v>0</v>
      </c>
      <c r="X1567">
        <v>38.25</v>
      </c>
    </row>
    <row r="1568" spans="1:24" ht="15">
      <c r="A1568">
        <v>1561</v>
      </c>
      <c r="B1568">
        <v>5099</v>
      </c>
      <c r="C1568" t="s">
        <v>877</v>
      </c>
      <c r="D1568" t="s">
        <v>41</v>
      </c>
      <c r="E1568" t="s">
        <v>53</v>
      </c>
      <c r="F1568" t="str">
        <f>"00024288"</f>
        <v>00024288</v>
      </c>
      <c r="G1568">
        <v>16</v>
      </c>
      <c r="H1568">
        <v>0</v>
      </c>
      <c r="I1568">
        <v>0</v>
      </c>
      <c r="J1568">
        <v>0</v>
      </c>
      <c r="K1568">
        <v>0</v>
      </c>
      <c r="L1568">
        <v>7</v>
      </c>
      <c r="O1568">
        <v>7</v>
      </c>
      <c r="P1568">
        <v>4</v>
      </c>
      <c r="Q1568">
        <v>2</v>
      </c>
      <c r="R1568">
        <v>29</v>
      </c>
      <c r="S1568">
        <v>0</v>
      </c>
      <c r="T1568">
        <v>0</v>
      </c>
      <c r="U1568">
        <v>9</v>
      </c>
      <c r="V1568">
        <v>0</v>
      </c>
      <c r="X1568">
        <v>38</v>
      </c>
    </row>
    <row r="1569" spans="1:24" ht="15">
      <c r="A1569">
        <v>1562</v>
      </c>
      <c r="B1569">
        <v>73513</v>
      </c>
      <c r="C1569" t="s">
        <v>1498</v>
      </c>
      <c r="D1569" t="s">
        <v>253</v>
      </c>
      <c r="E1569" t="s">
        <v>21</v>
      </c>
      <c r="F1569" t="str">
        <f>"00365480"</f>
        <v>00365480</v>
      </c>
      <c r="G1569">
        <v>18.65</v>
      </c>
      <c r="H1569">
        <v>0</v>
      </c>
      <c r="I1569">
        <v>0</v>
      </c>
      <c r="J1569">
        <v>0</v>
      </c>
      <c r="K1569">
        <v>0</v>
      </c>
      <c r="N1569">
        <v>3</v>
      </c>
      <c r="O1569">
        <v>3</v>
      </c>
      <c r="P1569">
        <v>4</v>
      </c>
      <c r="Q1569">
        <v>0</v>
      </c>
      <c r="R1569">
        <v>25.65</v>
      </c>
      <c r="S1569">
        <v>0</v>
      </c>
      <c r="T1569">
        <v>0</v>
      </c>
      <c r="U1569">
        <v>12</v>
      </c>
      <c r="V1569">
        <v>0</v>
      </c>
      <c r="X1569">
        <v>37.65</v>
      </c>
    </row>
    <row r="1570" spans="1:24" ht="15">
      <c r="A1570">
        <v>1563</v>
      </c>
      <c r="B1570">
        <v>20617</v>
      </c>
      <c r="C1570" t="s">
        <v>1499</v>
      </c>
      <c r="D1570" t="s">
        <v>173</v>
      </c>
      <c r="E1570" t="s">
        <v>131</v>
      </c>
      <c r="F1570" t="str">
        <f>"00170539"</f>
        <v>00170539</v>
      </c>
      <c r="G1570">
        <v>21.55</v>
      </c>
      <c r="H1570">
        <v>0</v>
      </c>
      <c r="I1570">
        <v>0</v>
      </c>
      <c r="J1570">
        <v>0</v>
      </c>
      <c r="K1570">
        <v>0</v>
      </c>
      <c r="L1570">
        <v>7</v>
      </c>
      <c r="M1570">
        <v>5</v>
      </c>
      <c r="O1570">
        <v>12</v>
      </c>
      <c r="P1570">
        <v>4</v>
      </c>
      <c r="Q1570">
        <v>0</v>
      </c>
      <c r="R1570">
        <v>37.55</v>
      </c>
      <c r="S1570">
        <v>0</v>
      </c>
      <c r="T1570">
        <v>0</v>
      </c>
      <c r="U1570">
        <v>0</v>
      </c>
      <c r="V1570">
        <v>0</v>
      </c>
      <c r="X1570">
        <v>37.55</v>
      </c>
    </row>
    <row r="1571" spans="1:24" ht="15">
      <c r="A1571">
        <v>1564</v>
      </c>
      <c r="B1571">
        <v>77991</v>
      </c>
      <c r="C1571" t="s">
        <v>1500</v>
      </c>
      <c r="D1571" t="s">
        <v>75</v>
      </c>
      <c r="E1571" t="s">
        <v>1501</v>
      </c>
      <c r="F1571" t="str">
        <f>"00630044"</f>
        <v>00630044</v>
      </c>
      <c r="G1571">
        <v>17.5</v>
      </c>
      <c r="H1571">
        <v>0</v>
      </c>
      <c r="I1571">
        <v>0</v>
      </c>
      <c r="J1571">
        <v>20</v>
      </c>
      <c r="K1571">
        <v>20</v>
      </c>
      <c r="O1571">
        <v>0</v>
      </c>
      <c r="P1571">
        <v>0</v>
      </c>
      <c r="Q1571">
        <v>0</v>
      </c>
      <c r="R1571">
        <v>37.5</v>
      </c>
      <c r="S1571">
        <v>0</v>
      </c>
      <c r="T1571">
        <v>0</v>
      </c>
      <c r="U1571">
        <v>0</v>
      </c>
      <c r="V1571">
        <v>0</v>
      </c>
      <c r="X1571">
        <v>37.5</v>
      </c>
    </row>
    <row r="1572" spans="1:24" ht="15">
      <c r="A1572">
        <v>1565</v>
      </c>
      <c r="B1572">
        <v>110789</v>
      </c>
      <c r="C1572" t="s">
        <v>1503</v>
      </c>
      <c r="D1572" t="s">
        <v>1504</v>
      </c>
      <c r="E1572" t="s">
        <v>772</v>
      </c>
      <c r="F1572" t="str">
        <f>"00546591"</f>
        <v>00546591</v>
      </c>
      <c r="G1572">
        <v>21.25</v>
      </c>
      <c r="H1572">
        <v>0</v>
      </c>
      <c r="I1572">
        <v>0</v>
      </c>
      <c r="J1572">
        <v>0</v>
      </c>
      <c r="K1572">
        <v>0</v>
      </c>
      <c r="N1572">
        <v>6</v>
      </c>
      <c r="O1572">
        <v>6</v>
      </c>
      <c r="P1572">
        <v>4</v>
      </c>
      <c r="Q1572">
        <v>0</v>
      </c>
      <c r="R1572">
        <v>31.25</v>
      </c>
      <c r="S1572">
        <v>0</v>
      </c>
      <c r="T1572">
        <v>0</v>
      </c>
      <c r="U1572">
        <v>6</v>
      </c>
      <c r="V1572">
        <v>0</v>
      </c>
      <c r="X1572">
        <v>37.25</v>
      </c>
    </row>
    <row r="1573" spans="1:24" ht="15">
      <c r="A1573">
        <v>1566</v>
      </c>
      <c r="B1573">
        <v>75290</v>
      </c>
      <c r="C1573" t="s">
        <v>1505</v>
      </c>
      <c r="D1573" t="s">
        <v>97</v>
      </c>
      <c r="E1573" t="s">
        <v>60</v>
      </c>
      <c r="F1573" t="str">
        <f>"00625714"</f>
        <v>00625714</v>
      </c>
      <c r="G1573">
        <v>18.23</v>
      </c>
      <c r="H1573">
        <v>0</v>
      </c>
      <c r="I1573">
        <v>0</v>
      </c>
      <c r="J1573">
        <v>0</v>
      </c>
      <c r="K1573">
        <v>0</v>
      </c>
      <c r="L1573">
        <v>7</v>
      </c>
      <c r="M1573">
        <v>5</v>
      </c>
      <c r="O1573">
        <v>12</v>
      </c>
      <c r="P1573">
        <v>4</v>
      </c>
      <c r="Q1573">
        <v>0</v>
      </c>
      <c r="R1573">
        <v>34.23</v>
      </c>
      <c r="S1573">
        <v>0</v>
      </c>
      <c r="T1573">
        <v>0</v>
      </c>
      <c r="U1573">
        <v>3</v>
      </c>
      <c r="V1573">
        <v>0</v>
      </c>
      <c r="X1573">
        <v>37.23</v>
      </c>
    </row>
    <row r="1574" spans="1:24" ht="15">
      <c r="A1574">
        <v>1567</v>
      </c>
      <c r="B1574">
        <v>74538</v>
      </c>
      <c r="C1574" t="s">
        <v>1507</v>
      </c>
      <c r="D1574" t="s">
        <v>30</v>
      </c>
      <c r="E1574" t="s">
        <v>80</v>
      </c>
      <c r="F1574" t="str">
        <f>"00640860"</f>
        <v>00640860</v>
      </c>
      <c r="G1574">
        <v>17.18</v>
      </c>
      <c r="H1574">
        <v>0</v>
      </c>
      <c r="I1574">
        <v>0</v>
      </c>
      <c r="J1574">
        <v>20</v>
      </c>
      <c r="K1574">
        <v>20</v>
      </c>
      <c r="O1574">
        <v>0</v>
      </c>
      <c r="P1574">
        <v>0</v>
      </c>
      <c r="Q1574">
        <v>0</v>
      </c>
      <c r="R1574">
        <v>37.18</v>
      </c>
      <c r="S1574">
        <v>0</v>
      </c>
      <c r="T1574">
        <v>0</v>
      </c>
      <c r="U1574">
        <v>0</v>
      </c>
      <c r="V1574">
        <v>0</v>
      </c>
      <c r="X1574">
        <v>37.18</v>
      </c>
    </row>
    <row r="1575" spans="1:24" ht="15">
      <c r="A1575">
        <v>1568</v>
      </c>
      <c r="B1575">
        <v>46072</v>
      </c>
      <c r="C1575" t="s">
        <v>949</v>
      </c>
      <c r="D1575" t="s">
        <v>1068</v>
      </c>
      <c r="E1575" t="s">
        <v>27</v>
      </c>
      <c r="F1575" t="str">
        <f>"201504003082"</f>
        <v>201504003082</v>
      </c>
      <c r="G1575">
        <v>20.1</v>
      </c>
      <c r="H1575">
        <v>0</v>
      </c>
      <c r="I1575">
        <v>0</v>
      </c>
      <c r="J1575">
        <v>0</v>
      </c>
      <c r="K1575">
        <v>0</v>
      </c>
      <c r="L1575">
        <v>7</v>
      </c>
      <c r="O1575">
        <v>7</v>
      </c>
      <c r="P1575">
        <v>4</v>
      </c>
      <c r="Q1575">
        <v>0</v>
      </c>
      <c r="R1575">
        <v>31.1</v>
      </c>
      <c r="S1575">
        <v>0</v>
      </c>
      <c r="T1575">
        <v>0</v>
      </c>
      <c r="U1575">
        <v>6</v>
      </c>
      <c r="V1575">
        <v>0</v>
      </c>
      <c r="X1575">
        <v>37.1</v>
      </c>
    </row>
    <row r="1576" spans="1:24" ht="15">
      <c r="A1576">
        <v>1569</v>
      </c>
      <c r="B1576">
        <v>38920</v>
      </c>
      <c r="C1576" t="s">
        <v>1509</v>
      </c>
      <c r="D1576" t="s">
        <v>719</v>
      </c>
      <c r="E1576" t="s">
        <v>21</v>
      </c>
      <c r="F1576" t="str">
        <f>"00567408"</f>
        <v>00567408</v>
      </c>
      <c r="G1576">
        <v>17.08</v>
      </c>
      <c r="H1576">
        <v>0</v>
      </c>
      <c r="I1576">
        <v>0</v>
      </c>
      <c r="J1576">
        <v>0</v>
      </c>
      <c r="K1576">
        <v>0</v>
      </c>
      <c r="L1576">
        <v>7</v>
      </c>
      <c r="N1576">
        <v>3</v>
      </c>
      <c r="O1576">
        <v>10</v>
      </c>
      <c r="P1576">
        <v>4</v>
      </c>
      <c r="Q1576">
        <v>0</v>
      </c>
      <c r="R1576">
        <v>31.08</v>
      </c>
      <c r="S1576">
        <v>0</v>
      </c>
      <c r="T1576">
        <v>0</v>
      </c>
      <c r="U1576">
        <v>6</v>
      </c>
      <c r="V1576">
        <v>0</v>
      </c>
      <c r="X1576">
        <v>37.08</v>
      </c>
    </row>
    <row r="1577" spans="1:24" ht="15">
      <c r="A1577">
        <v>1570</v>
      </c>
      <c r="B1577">
        <v>101733</v>
      </c>
      <c r="C1577" t="s">
        <v>1512</v>
      </c>
      <c r="D1577" t="s">
        <v>17</v>
      </c>
      <c r="E1577" t="s">
        <v>27</v>
      </c>
      <c r="F1577" t="str">
        <f>"00650397"</f>
        <v>00650397</v>
      </c>
      <c r="G1577">
        <v>17</v>
      </c>
      <c r="H1577">
        <v>0</v>
      </c>
      <c r="I1577">
        <v>0</v>
      </c>
      <c r="J1577">
        <v>20</v>
      </c>
      <c r="K1577">
        <v>20</v>
      </c>
      <c r="O1577">
        <v>0</v>
      </c>
      <c r="P1577">
        <v>0</v>
      </c>
      <c r="Q1577">
        <v>0</v>
      </c>
      <c r="R1577">
        <v>37</v>
      </c>
      <c r="S1577">
        <v>0</v>
      </c>
      <c r="T1577">
        <v>0</v>
      </c>
      <c r="U1577">
        <v>0</v>
      </c>
      <c r="V1577">
        <v>0</v>
      </c>
      <c r="X1577">
        <v>37</v>
      </c>
    </row>
    <row r="1578" spans="1:24" ht="15">
      <c r="A1578">
        <v>1571</v>
      </c>
      <c r="B1578">
        <v>30293</v>
      </c>
      <c r="C1578" t="s">
        <v>1471</v>
      </c>
      <c r="D1578" t="s">
        <v>97</v>
      </c>
      <c r="E1578" t="s">
        <v>27</v>
      </c>
      <c r="F1578" t="str">
        <f>"00473379"</f>
        <v>00473379</v>
      </c>
      <c r="G1578">
        <v>16.98</v>
      </c>
      <c r="H1578">
        <v>0</v>
      </c>
      <c r="I1578">
        <v>0</v>
      </c>
      <c r="J1578">
        <v>0</v>
      </c>
      <c r="K1578">
        <v>0</v>
      </c>
      <c r="L1578">
        <v>7</v>
      </c>
      <c r="N1578">
        <v>3</v>
      </c>
      <c r="O1578">
        <v>10</v>
      </c>
      <c r="P1578">
        <v>4</v>
      </c>
      <c r="Q1578">
        <v>0</v>
      </c>
      <c r="R1578">
        <v>30.98</v>
      </c>
      <c r="S1578">
        <v>0</v>
      </c>
      <c r="T1578">
        <v>0</v>
      </c>
      <c r="U1578">
        <v>6</v>
      </c>
      <c r="V1578">
        <v>0</v>
      </c>
      <c r="X1578">
        <v>36.98</v>
      </c>
    </row>
    <row r="1579" spans="1:24" ht="15">
      <c r="A1579">
        <v>1572</v>
      </c>
      <c r="B1579">
        <v>7624</v>
      </c>
      <c r="C1579" t="s">
        <v>1513</v>
      </c>
      <c r="D1579" t="s">
        <v>478</v>
      </c>
      <c r="E1579" t="s">
        <v>27</v>
      </c>
      <c r="F1579" t="str">
        <f>"00342530"</f>
        <v>00342530</v>
      </c>
      <c r="G1579">
        <v>20.8</v>
      </c>
      <c r="H1579">
        <v>0</v>
      </c>
      <c r="I1579">
        <v>0</v>
      </c>
      <c r="J1579">
        <v>0</v>
      </c>
      <c r="K1579">
        <v>0</v>
      </c>
      <c r="L1579">
        <v>7</v>
      </c>
      <c r="O1579">
        <v>7</v>
      </c>
      <c r="P1579">
        <v>0</v>
      </c>
      <c r="Q1579">
        <v>0</v>
      </c>
      <c r="R1579">
        <v>27.8</v>
      </c>
      <c r="S1579">
        <v>0</v>
      </c>
      <c r="T1579">
        <v>0</v>
      </c>
      <c r="U1579">
        <v>9</v>
      </c>
      <c r="V1579">
        <v>0</v>
      </c>
      <c r="X1579">
        <v>36.8</v>
      </c>
    </row>
    <row r="1580" spans="1:24" ht="15">
      <c r="A1580">
        <v>1573</v>
      </c>
      <c r="B1580">
        <v>86161</v>
      </c>
      <c r="C1580" t="s">
        <v>1515</v>
      </c>
      <c r="D1580" t="s">
        <v>29</v>
      </c>
      <c r="E1580" t="s">
        <v>12</v>
      </c>
      <c r="F1580" t="str">
        <f>"00466846"</f>
        <v>00466846</v>
      </c>
      <c r="G1580">
        <v>22.73</v>
      </c>
      <c r="H1580">
        <v>0</v>
      </c>
      <c r="I1580">
        <v>0</v>
      </c>
      <c r="J1580">
        <v>0</v>
      </c>
      <c r="K1580">
        <v>0</v>
      </c>
      <c r="L1580">
        <v>7</v>
      </c>
      <c r="N1580">
        <v>3</v>
      </c>
      <c r="O1580">
        <v>10</v>
      </c>
      <c r="P1580">
        <v>4</v>
      </c>
      <c r="Q1580">
        <v>0</v>
      </c>
      <c r="R1580">
        <v>36.73</v>
      </c>
      <c r="S1580">
        <v>0</v>
      </c>
      <c r="T1580">
        <v>0</v>
      </c>
      <c r="U1580">
        <v>0</v>
      </c>
      <c r="V1580">
        <v>0</v>
      </c>
      <c r="X1580">
        <v>36.73</v>
      </c>
    </row>
    <row r="1581" spans="1:24" ht="15">
      <c r="A1581">
        <v>1574</v>
      </c>
      <c r="B1581">
        <v>28221</v>
      </c>
      <c r="C1581" t="s">
        <v>1518</v>
      </c>
      <c r="D1581" t="s">
        <v>1243</v>
      </c>
      <c r="E1581" t="s">
        <v>353</v>
      </c>
      <c r="F1581" t="str">
        <f>"00539834"</f>
        <v>00539834</v>
      </c>
      <c r="G1581">
        <v>12.5</v>
      </c>
      <c r="H1581">
        <v>0</v>
      </c>
      <c r="I1581">
        <v>0</v>
      </c>
      <c r="J1581">
        <v>20</v>
      </c>
      <c r="K1581">
        <v>20</v>
      </c>
      <c r="O1581">
        <v>0</v>
      </c>
      <c r="P1581">
        <v>4</v>
      </c>
      <c r="Q1581">
        <v>0</v>
      </c>
      <c r="R1581">
        <v>36.5</v>
      </c>
      <c r="S1581">
        <v>0</v>
      </c>
      <c r="T1581">
        <v>0</v>
      </c>
      <c r="U1581">
        <v>0</v>
      </c>
      <c r="V1581">
        <v>0</v>
      </c>
      <c r="X1581">
        <v>36.5</v>
      </c>
    </row>
    <row r="1582" spans="1:24" ht="15">
      <c r="A1582">
        <v>1575</v>
      </c>
      <c r="B1582">
        <v>90123</v>
      </c>
      <c r="C1582" t="s">
        <v>946</v>
      </c>
      <c r="D1582" t="s">
        <v>29</v>
      </c>
      <c r="E1582" t="s">
        <v>53</v>
      </c>
      <c r="F1582" t="str">
        <f>"00642867"</f>
        <v>00642867</v>
      </c>
      <c r="G1582">
        <v>19.35</v>
      </c>
      <c r="H1582">
        <v>0</v>
      </c>
      <c r="I1582">
        <v>0</v>
      </c>
      <c r="J1582">
        <v>0</v>
      </c>
      <c r="K1582">
        <v>0</v>
      </c>
      <c r="L1582">
        <v>7</v>
      </c>
      <c r="N1582">
        <v>3</v>
      </c>
      <c r="O1582">
        <v>10</v>
      </c>
      <c r="P1582">
        <v>4</v>
      </c>
      <c r="Q1582">
        <v>0</v>
      </c>
      <c r="R1582">
        <v>33.35</v>
      </c>
      <c r="S1582">
        <v>0</v>
      </c>
      <c r="T1582">
        <v>0</v>
      </c>
      <c r="U1582">
        <v>3</v>
      </c>
      <c r="V1582">
        <v>0</v>
      </c>
      <c r="X1582">
        <v>36.35</v>
      </c>
    </row>
    <row r="1583" spans="1:24" ht="15">
      <c r="A1583">
        <v>1576</v>
      </c>
      <c r="B1583">
        <v>19531</v>
      </c>
      <c r="C1583" t="s">
        <v>1521</v>
      </c>
      <c r="D1583" t="s">
        <v>289</v>
      </c>
      <c r="E1583" t="s">
        <v>27</v>
      </c>
      <c r="F1583" t="str">
        <f>"201402000412"</f>
        <v>201402000412</v>
      </c>
      <c r="G1583">
        <v>16.25</v>
      </c>
      <c r="H1583">
        <v>7</v>
      </c>
      <c r="I1583">
        <v>0</v>
      </c>
      <c r="J1583">
        <v>0</v>
      </c>
      <c r="K1583">
        <v>0</v>
      </c>
      <c r="N1583">
        <v>3</v>
      </c>
      <c r="O1583">
        <v>3</v>
      </c>
      <c r="P1583">
        <v>4</v>
      </c>
      <c r="Q1583">
        <v>0</v>
      </c>
      <c r="R1583">
        <v>30.25</v>
      </c>
      <c r="S1583">
        <v>0</v>
      </c>
      <c r="T1583">
        <v>0</v>
      </c>
      <c r="U1583">
        <v>6</v>
      </c>
      <c r="V1583">
        <v>0</v>
      </c>
      <c r="X1583">
        <v>36.25</v>
      </c>
    </row>
    <row r="1584" spans="1:24" ht="15">
      <c r="A1584">
        <v>1577</v>
      </c>
      <c r="B1584">
        <v>43629</v>
      </c>
      <c r="C1584" t="s">
        <v>1522</v>
      </c>
      <c r="D1584" t="s">
        <v>728</v>
      </c>
      <c r="E1584" t="s">
        <v>465</v>
      </c>
      <c r="F1584" t="str">
        <f>"00619617"</f>
        <v>00619617</v>
      </c>
      <c r="G1584">
        <v>19.25</v>
      </c>
      <c r="H1584">
        <v>0</v>
      </c>
      <c r="I1584">
        <v>0</v>
      </c>
      <c r="J1584">
        <v>0</v>
      </c>
      <c r="K1584">
        <v>0</v>
      </c>
      <c r="L1584">
        <v>7</v>
      </c>
      <c r="N1584">
        <v>3</v>
      </c>
      <c r="O1584">
        <v>10</v>
      </c>
      <c r="P1584">
        <v>4</v>
      </c>
      <c r="Q1584">
        <v>0</v>
      </c>
      <c r="R1584">
        <v>33.25</v>
      </c>
      <c r="S1584">
        <v>0</v>
      </c>
      <c r="T1584">
        <v>0</v>
      </c>
      <c r="U1584">
        <v>3</v>
      </c>
      <c r="V1584">
        <v>0</v>
      </c>
      <c r="X1584">
        <v>36.25</v>
      </c>
    </row>
    <row r="1585" spans="1:24" ht="15">
      <c r="A1585">
        <v>1578</v>
      </c>
      <c r="B1585">
        <v>10108</v>
      </c>
      <c r="C1585" t="s">
        <v>1523</v>
      </c>
      <c r="D1585" t="s">
        <v>1524</v>
      </c>
      <c r="E1585" t="s">
        <v>23</v>
      </c>
      <c r="F1585" t="str">
        <f>"00562010"</f>
        <v>00562010</v>
      </c>
      <c r="G1585">
        <v>20.23</v>
      </c>
      <c r="H1585">
        <v>0</v>
      </c>
      <c r="I1585">
        <v>0</v>
      </c>
      <c r="J1585">
        <v>0</v>
      </c>
      <c r="K1585">
        <v>0</v>
      </c>
      <c r="L1585">
        <v>7</v>
      </c>
      <c r="M1585">
        <v>5</v>
      </c>
      <c r="O1585">
        <v>12</v>
      </c>
      <c r="P1585">
        <v>4</v>
      </c>
      <c r="Q1585">
        <v>0</v>
      </c>
      <c r="R1585">
        <v>36.23</v>
      </c>
      <c r="S1585">
        <v>0</v>
      </c>
      <c r="T1585">
        <v>0</v>
      </c>
      <c r="U1585">
        <v>0</v>
      </c>
      <c r="V1585">
        <v>0</v>
      </c>
      <c r="X1585">
        <v>36.23</v>
      </c>
    </row>
    <row r="1586" spans="1:24" ht="15">
      <c r="A1586">
        <v>1579</v>
      </c>
      <c r="B1586">
        <v>114201</v>
      </c>
      <c r="C1586" t="s">
        <v>332</v>
      </c>
      <c r="D1586" t="s">
        <v>1527</v>
      </c>
      <c r="E1586" t="s">
        <v>120</v>
      </c>
      <c r="F1586" t="str">
        <f>"00629550"</f>
        <v>00629550</v>
      </c>
      <c r="G1586">
        <v>18.75</v>
      </c>
      <c r="H1586">
        <v>0</v>
      </c>
      <c r="I1586">
        <v>0</v>
      </c>
      <c r="J1586">
        <v>0</v>
      </c>
      <c r="K1586">
        <v>0</v>
      </c>
      <c r="L1586">
        <v>7</v>
      </c>
      <c r="O1586">
        <v>7</v>
      </c>
      <c r="P1586">
        <v>4</v>
      </c>
      <c r="Q1586">
        <v>0</v>
      </c>
      <c r="R1586">
        <v>29.75</v>
      </c>
      <c r="S1586">
        <v>0</v>
      </c>
      <c r="T1586">
        <v>0</v>
      </c>
      <c r="U1586">
        <v>6</v>
      </c>
      <c r="V1586">
        <v>0</v>
      </c>
      <c r="X1586">
        <v>35.75</v>
      </c>
    </row>
    <row r="1587" spans="1:24" ht="15">
      <c r="A1587">
        <v>1580</v>
      </c>
      <c r="B1587">
        <v>99102</v>
      </c>
      <c r="C1587" t="s">
        <v>1529</v>
      </c>
      <c r="D1587" t="s">
        <v>180</v>
      </c>
      <c r="E1587" t="s">
        <v>690</v>
      </c>
      <c r="F1587" t="str">
        <f>"00157647"</f>
        <v>00157647</v>
      </c>
      <c r="G1587">
        <v>19.6</v>
      </c>
      <c r="H1587">
        <v>0</v>
      </c>
      <c r="I1587">
        <v>0</v>
      </c>
      <c r="J1587">
        <v>0</v>
      </c>
      <c r="K1587">
        <v>0</v>
      </c>
      <c r="N1587">
        <v>3</v>
      </c>
      <c r="O1587">
        <v>3</v>
      </c>
      <c r="P1587">
        <v>4</v>
      </c>
      <c r="Q1587">
        <v>0</v>
      </c>
      <c r="R1587">
        <v>26.6</v>
      </c>
      <c r="S1587">
        <v>0</v>
      </c>
      <c r="T1587">
        <v>0</v>
      </c>
      <c r="U1587">
        <v>9</v>
      </c>
      <c r="V1587">
        <v>0</v>
      </c>
      <c r="X1587">
        <v>35.6</v>
      </c>
    </row>
    <row r="1588" spans="1:24" ht="15">
      <c r="A1588">
        <v>1581</v>
      </c>
      <c r="B1588">
        <v>19936</v>
      </c>
      <c r="C1588" t="s">
        <v>1531</v>
      </c>
      <c r="D1588" t="s">
        <v>370</v>
      </c>
      <c r="E1588" t="s">
        <v>12</v>
      </c>
      <c r="F1588" t="str">
        <f>"00583850"</f>
        <v>00583850</v>
      </c>
      <c r="G1588">
        <v>12.5</v>
      </c>
      <c r="H1588">
        <v>0</v>
      </c>
      <c r="I1588">
        <v>0</v>
      </c>
      <c r="J1588">
        <v>0</v>
      </c>
      <c r="K1588">
        <v>0</v>
      </c>
      <c r="L1588">
        <v>7</v>
      </c>
      <c r="N1588">
        <v>3</v>
      </c>
      <c r="O1588">
        <v>10</v>
      </c>
      <c r="P1588">
        <v>4</v>
      </c>
      <c r="Q1588">
        <v>0</v>
      </c>
      <c r="R1588">
        <v>26.5</v>
      </c>
      <c r="S1588">
        <v>3</v>
      </c>
      <c r="T1588">
        <v>3</v>
      </c>
      <c r="U1588">
        <v>6</v>
      </c>
      <c r="V1588">
        <v>0</v>
      </c>
      <c r="X1588">
        <v>35.5</v>
      </c>
    </row>
    <row r="1589" spans="1:24" ht="15">
      <c r="A1589">
        <v>1582</v>
      </c>
      <c r="B1589">
        <v>20168</v>
      </c>
      <c r="C1589" t="s">
        <v>1534</v>
      </c>
      <c r="D1589" t="s">
        <v>153</v>
      </c>
      <c r="E1589" t="s">
        <v>270</v>
      </c>
      <c r="F1589" t="str">
        <f>"00466366"</f>
        <v>00466366</v>
      </c>
      <c r="G1589">
        <v>15.43</v>
      </c>
      <c r="H1589">
        <v>0</v>
      </c>
      <c r="I1589">
        <v>0</v>
      </c>
      <c r="J1589">
        <v>0</v>
      </c>
      <c r="K1589">
        <v>0</v>
      </c>
      <c r="L1589">
        <v>7</v>
      </c>
      <c r="N1589">
        <v>3</v>
      </c>
      <c r="O1589">
        <v>10</v>
      </c>
      <c r="P1589">
        <v>4</v>
      </c>
      <c r="Q1589">
        <v>0</v>
      </c>
      <c r="R1589">
        <v>29.43</v>
      </c>
      <c r="S1589">
        <v>0</v>
      </c>
      <c r="T1589">
        <v>0</v>
      </c>
      <c r="U1589">
        <v>6</v>
      </c>
      <c r="V1589">
        <v>0</v>
      </c>
      <c r="X1589">
        <v>35.43</v>
      </c>
    </row>
    <row r="1590" spans="1:24" ht="15">
      <c r="A1590">
        <v>1583</v>
      </c>
      <c r="B1590">
        <v>60065</v>
      </c>
      <c r="C1590" t="s">
        <v>1535</v>
      </c>
      <c r="D1590" t="s">
        <v>236</v>
      </c>
      <c r="E1590" t="s">
        <v>27</v>
      </c>
      <c r="F1590" t="str">
        <f>"00607694"</f>
        <v>00607694</v>
      </c>
      <c r="G1590">
        <v>21.38</v>
      </c>
      <c r="H1590">
        <v>0</v>
      </c>
      <c r="I1590">
        <v>0</v>
      </c>
      <c r="J1590">
        <v>0</v>
      </c>
      <c r="K1590">
        <v>0</v>
      </c>
      <c r="L1590">
        <v>7</v>
      </c>
      <c r="N1590">
        <v>3</v>
      </c>
      <c r="O1590">
        <v>10</v>
      </c>
      <c r="P1590">
        <v>4</v>
      </c>
      <c r="Q1590">
        <v>0</v>
      </c>
      <c r="R1590">
        <v>35.38</v>
      </c>
      <c r="S1590">
        <v>0</v>
      </c>
      <c r="T1590">
        <v>0</v>
      </c>
      <c r="U1590">
        <v>0</v>
      </c>
      <c r="V1590">
        <v>0</v>
      </c>
      <c r="X1590">
        <v>35.38</v>
      </c>
    </row>
    <row r="1591" spans="1:24" ht="15">
      <c r="A1591">
        <v>1584</v>
      </c>
      <c r="B1591">
        <v>105458</v>
      </c>
      <c r="C1591" t="s">
        <v>1537</v>
      </c>
      <c r="D1591" t="s">
        <v>12</v>
      </c>
      <c r="E1591" t="s">
        <v>139</v>
      </c>
      <c r="F1591" t="str">
        <f>"00648825"</f>
        <v>00648825</v>
      </c>
      <c r="G1591">
        <v>15.28</v>
      </c>
      <c r="H1591">
        <v>0</v>
      </c>
      <c r="I1591">
        <v>0</v>
      </c>
      <c r="J1591">
        <v>20</v>
      </c>
      <c r="K1591">
        <v>20</v>
      </c>
      <c r="O1591">
        <v>0</v>
      </c>
      <c r="P1591">
        <v>0</v>
      </c>
      <c r="Q1591">
        <v>0</v>
      </c>
      <c r="R1591">
        <v>35.28</v>
      </c>
      <c r="S1591">
        <v>0</v>
      </c>
      <c r="T1591">
        <v>0</v>
      </c>
      <c r="U1591">
        <v>0</v>
      </c>
      <c r="V1591">
        <v>0</v>
      </c>
      <c r="X1591">
        <v>35.28</v>
      </c>
    </row>
    <row r="1592" spans="1:24" ht="15">
      <c r="A1592">
        <v>1585</v>
      </c>
      <c r="B1592">
        <v>14280</v>
      </c>
      <c r="C1592" t="s">
        <v>1538</v>
      </c>
      <c r="D1592" t="s">
        <v>37</v>
      </c>
      <c r="E1592" t="s">
        <v>12</v>
      </c>
      <c r="F1592" t="str">
        <f>"201512004940"</f>
        <v>201512004940</v>
      </c>
      <c r="G1592">
        <v>21.18</v>
      </c>
      <c r="H1592">
        <v>0</v>
      </c>
      <c r="I1592">
        <v>0</v>
      </c>
      <c r="J1592">
        <v>0</v>
      </c>
      <c r="K1592">
        <v>0</v>
      </c>
      <c r="L1592">
        <v>7</v>
      </c>
      <c r="O1592">
        <v>7</v>
      </c>
      <c r="P1592">
        <v>4</v>
      </c>
      <c r="Q1592">
        <v>0</v>
      </c>
      <c r="R1592">
        <v>32.18</v>
      </c>
      <c r="S1592">
        <v>0</v>
      </c>
      <c r="T1592">
        <v>0</v>
      </c>
      <c r="U1592">
        <v>3</v>
      </c>
      <c r="V1592">
        <v>0</v>
      </c>
      <c r="X1592">
        <v>35.18</v>
      </c>
    </row>
    <row r="1593" spans="1:24" ht="15">
      <c r="A1593">
        <v>1586</v>
      </c>
      <c r="B1593">
        <v>39797</v>
      </c>
      <c r="C1593" t="s">
        <v>1539</v>
      </c>
      <c r="D1593" t="s">
        <v>236</v>
      </c>
      <c r="E1593" t="s">
        <v>1540</v>
      </c>
      <c r="F1593" t="str">
        <f>"00232031"</f>
        <v>00232031</v>
      </c>
      <c r="G1593">
        <v>19.08</v>
      </c>
      <c r="H1593">
        <v>0</v>
      </c>
      <c r="I1593">
        <v>0</v>
      </c>
      <c r="J1593">
        <v>0</v>
      </c>
      <c r="K1593">
        <v>0</v>
      </c>
      <c r="L1593">
        <v>7</v>
      </c>
      <c r="M1593">
        <v>5</v>
      </c>
      <c r="O1593">
        <v>12</v>
      </c>
      <c r="P1593">
        <v>4</v>
      </c>
      <c r="Q1593">
        <v>0</v>
      </c>
      <c r="R1593">
        <v>35.08</v>
      </c>
      <c r="S1593">
        <v>0</v>
      </c>
      <c r="T1593">
        <v>0</v>
      </c>
      <c r="U1593">
        <v>0</v>
      </c>
      <c r="V1593">
        <v>0</v>
      </c>
      <c r="X1593">
        <v>35.08</v>
      </c>
    </row>
    <row r="1594" spans="1:24" ht="15">
      <c r="A1594">
        <v>1587</v>
      </c>
      <c r="B1594">
        <v>11557</v>
      </c>
      <c r="C1594" t="s">
        <v>1541</v>
      </c>
      <c r="D1594" t="s">
        <v>153</v>
      </c>
      <c r="E1594" t="s">
        <v>113</v>
      </c>
      <c r="F1594" t="str">
        <f>"201406003372"</f>
        <v>201406003372</v>
      </c>
      <c r="G1594">
        <v>14.93</v>
      </c>
      <c r="H1594">
        <v>0</v>
      </c>
      <c r="I1594">
        <v>0</v>
      </c>
      <c r="J1594">
        <v>0</v>
      </c>
      <c r="K1594">
        <v>0</v>
      </c>
      <c r="L1594">
        <v>7</v>
      </c>
      <c r="O1594">
        <v>7</v>
      </c>
      <c r="P1594">
        <v>4</v>
      </c>
      <c r="Q1594">
        <v>0</v>
      </c>
      <c r="R1594">
        <v>25.93</v>
      </c>
      <c r="S1594">
        <v>0</v>
      </c>
      <c r="T1594">
        <v>0</v>
      </c>
      <c r="U1594">
        <v>9</v>
      </c>
      <c r="V1594">
        <v>0</v>
      </c>
      <c r="X1594">
        <v>34.93</v>
      </c>
    </row>
    <row r="1595" spans="1:24" ht="15">
      <c r="A1595">
        <v>1588</v>
      </c>
      <c r="B1595">
        <v>75260</v>
      </c>
      <c r="C1595" t="s">
        <v>1542</v>
      </c>
      <c r="D1595" t="s">
        <v>1543</v>
      </c>
      <c r="E1595" t="s">
        <v>30</v>
      </c>
      <c r="F1595" t="str">
        <f>"00639814"</f>
        <v>00639814</v>
      </c>
      <c r="G1595">
        <v>20.8</v>
      </c>
      <c r="H1595">
        <v>0</v>
      </c>
      <c r="I1595">
        <v>0</v>
      </c>
      <c r="J1595">
        <v>0</v>
      </c>
      <c r="K1595">
        <v>0</v>
      </c>
      <c r="L1595">
        <v>7</v>
      </c>
      <c r="N1595">
        <v>3</v>
      </c>
      <c r="O1595">
        <v>10</v>
      </c>
      <c r="P1595">
        <v>4</v>
      </c>
      <c r="Q1595">
        <v>0</v>
      </c>
      <c r="R1595">
        <v>34.8</v>
      </c>
      <c r="S1595">
        <v>0</v>
      </c>
      <c r="T1595">
        <v>0</v>
      </c>
      <c r="U1595">
        <v>0</v>
      </c>
      <c r="V1595">
        <v>0</v>
      </c>
      <c r="X1595">
        <v>34.8</v>
      </c>
    </row>
    <row r="1596" spans="1:24" ht="15">
      <c r="A1596">
        <v>1589</v>
      </c>
      <c r="B1596">
        <v>74541</v>
      </c>
      <c r="C1596" t="s">
        <v>1248</v>
      </c>
      <c r="D1596" t="s">
        <v>29</v>
      </c>
      <c r="E1596" t="s">
        <v>201</v>
      </c>
      <c r="F1596" t="str">
        <f>"00643628"</f>
        <v>00643628</v>
      </c>
      <c r="G1596">
        <v>18.6</v>
      </c>
      <c r="H1596">
        <v>0</v>
      </c>
      <c r="I1596">
        <v>0</v>
      </c>
      <c r="J1596">
        <v>0</v>
      </c>
      <c r="K1596">
        <v>0</v>
      </c>
      <c r="L1596">
        <v>7</v>
      </c>
      <c r="M1596">
        <v>5</v>
      </c>
      <c r="O1596">
        <v>12</v>
      </c>
      <c r="P1596">
        <v>4</v>
      </c>
      <c r="Q1596">
        <v>0</v>
      </c>
      <c r="R1596">
        <v>34.6</v>
      </c>
      <c r="S1596">
        <v>0</v>
      </c>
      <c r="T1596">
        <v>0</v>
      </c>
      <c r="U1596">
        <v>0</v>
      </c>
      <c r="V1596">
        <v>0</v>
      </c>
      <c r="X1596">
        <v>34.6</v>
      </c>
    </row>
    <row r="1597" spans="1:24" ht="15">
      <c r="A1597">
        <v>1590</v>
      </c>
      <c r="B1597">
        <v>98538</v>
      </c>
      <c r="C1597" t="s">
        <v>1547</v>
      </c>
      <c r="D1597" t="s">
        <v>90</v>
      </c>
      <c r="E1597" t="s">
        <v>60</v>
      </c>
      <c r="F1597" t="str">
        <f>"00647558"</f>
        <v>00647558</v>
      </c>
      <c r="G1597">
        <v>20.55</v>
      </c>
      <c r="H1597">
        <v>0</v>
      </c>
      <c r="I1597">
        <v>0</v>
      </c>
      <c r="J1597">
        <v>0</v>
      </c>
      <c r="K1597">
        <v>0</v>
      </c>
      <c r="M1597">
        <v>5</v>
      </c>
      <c r="O1597">
        <v>5</v>
      </c>
      <c r="P1597">
        <v>0</v>
      </c>
      <c r="Q1597">
        <v>0</v>
      </c>
      <c r="R1597">
        <v>25.55</v>
      </c>
      <c r="S1597">
        <v>0</v>
      </c>
      <c r="T1597">
        <v>0</v>
      </c>
      <c r="U1597">
        <v>9</v>
      </c>
      <c r="V1597">
        <v>0</v>
      </c>
      <c r="X1597">
        <v>34.55</v>
      </c>
    </row>
    <row r="1598" spans="1:24" ht="15">
      <c r="A1598">
        <v>1591</v>
      </c>
      <c r="B1598">
        <v>110762</v>
      </c>
      <c r="C1598" t="s">
        <v>1550</v>
      </c>
      <c r="D1598" t="s">
        <v>442</v>
      </c>
      <c r="E1598" t="s">
        <v>17</v>
      </c>
      <c r="F1598" t="str">
        <f>"00637008"</f>
        <v>00637008</v>
      </c>
      <c r="G1598">
        <v>18.43</v>
      </c>
      <c r="H1598">
        <v>0</v>
      </c>
      <c r="I1598">
        <v>0</v>
      </c>
      <c r="J1598">
        <v>0</v>
      </c>
      <c r="K1598">
        <v>0</v>
      </c>
      <c r="L1598">
        <v>7</v>
      </c>
      <c r="M1598">
        <v>5</v>
      </c>
      <c r="O1598">
        <v>12</v>
      </c>
      <c r="P1598">
        <v>4</v>
      </c>
      <c r="Q1598">
        <v>0</v>
      </c>
      <c r="R1598">
        <v>34.43</v>
      </c>
      <c r="S1598">
        <v>0</v>
      </c>
      <c r="T1598">
        <v>0</v>
      </c>
      <c r="U1598">
        <v>0</v>
      </c>
      <c r="V1598">
        <v>0</v>
      </c>
      <c r="X1598">
        <v>34.43</v>
      </c>
    </row>
    <row r="1599" spans="1:24" ht="15">
      <c r="A1599">
        <v>1592</v>
      </c>
      <c r="B1599">
        <v>28470</v>
      </c>
      <c r="C1599" t="s">
        <v>1555</v>
      </c>
      <c r="D1599" t="s">
        <v>88</v>
      </c>
      <c r="E1599" t="s">
        <v>124</v>
      </c>
      <c r="F1599" t="str">
        <f>"00585370"</f>
        <v>00585370</v>
      </c>
      <c r="G1599">
        <v>18.2</v>
      </c>
      <c r="H1599">
        <v>0</v>
      </c>
      <c r="I1599">
        <v>0</v>
      </c>
      <c r="J1599">
        <v>0</v>
      </c>
      <c r="K1599">
        <v>0</v>
      </c>
      <c r="L1599">
        <v>7</v>
      </c>
      <c r="M1599">
        <v>5</v>
      </c>
      <c r="O1599">
        <v>12</v>
      </c>
      <c r="P1599">
        <v>4</v>
      </c>
      <c r="Q1599">
        <v>0</v>
      </c>
      <c r="R1599">
        <v>34.2</v>
      </c>
      <c r="S1599">
        <v>0</v>
      </c>
      <c r="T1599">
        <v>0</v>
      </c>
      <c r="U1599">
        <v>0</v>
      </c>
      <c r="V1599">
        <v>0</v>
      </c>
      <c r="X1599">
        <v>34.2</v>
      </c>
    </row>
    <row r="1600" spans="1:24" ht="15">
      <c r="A1600">
        <v>1593</v>
      </c>
      <c r="B1600">
        <v>58285</v>
      </c>
      <c r="C1600" t="s">
        <v>1557</v>
      </c>
      <c r="D1600" t="s">
        <v>442</v>
      </c>
      <c r="E1600" t="s">
        <v>44</v>
      </c>
      <c r="F1600" t="str">
        <f>"200712001261"</f>
        <v>200712001261</v>
      </c>
      <c r="G1600">
        <v>21.15</v>
      </c>
      <c r="H1600">
        <v>0</v>
      </c>
      <c r="I1600">
        <v>0</v>
      </c>
      <c r="J1600">
        <v>0</v>
      </c>
      <c r="K1600">
        <v>0</v>
      </c>
      <c r="N1600">
        <v>6</v>
      </c>
      <c r="O1600">
        <v>6</v>
      </c>
      <c r="P1600">
        <v>4</v>
      </c>
      <c r="Q1600">
        <v>0</v>
      </c>
      <c r="R1600">
        <v>31.15</v>
      </c>
      <c r="S1600">
        <v>0</v>
      </c>
      <c r="T1600">
        <v>0</v>
      </c>
      <c r="U1600">
        <v>3</v>
      </c>
      <c r="V1600">
        <v>0</v>
      </c>
      <c r="X1600">
        <v>34.15</v>
      </c>
    </row>
    <row r="1601" spans="1:24" ht="15">
      <c r="A1601">
        <v>1594</v>
      </c>
      <c r="B1601">
        <v>78126</v>
      </c>
      <c r="C1601" t="s">
        <v>506</v>
      </c>
      <c r="D1601" t="s">
        <v>928</v>
      </c>
      <c r="E1601" t="s">
        <v>1124</v>
      </c>
      <c r="F1601" t="str">
        <f>"00297804"</f>
        <v>00297804</v>
      </c>
      <c r="G1601">
        <v>17.75</v>
      </c>
      <c r="H1601">
        <v>0</v>
      </c>
      <c r="I1601">
        <v>0</v>
      </c>
      <c r="J1601">
        <v>0</v>
      </c>
      <c r="K1601">
        <v>0</v>
      </c>
      <c r="N1601">
        <v>3</v>
      </c>
      <c r="O1601">
        <v>3</v>
      </c>
      <c r="P1601">
        <v>4</v>
      </c>
      <c r="Q1601">
        <v>0</v>
      </c>
      <c r="R1601">
        <v>24.75</v>
      </c>
      <c r="S1601">
        <v>0</v>
      </c>
      <c r="T1601">
        <v>0</v>
      </c>
      <c r="U1601">
        <v>9</v>
      </c>
      <c r="V1601">
        <v>0</v>
      </c>
      <c r="X1601">
        <v>33.75</v>
      </c>
    </row>
    <row r="1602" spans="1:24" ht="15">
      <c r="A1602">
        <v>1595</v>
      </c>
      <c r="B1602">
        <v>1229</v>
      </c>
      <c r="C1602" t="s">
        <v>1560</v>
      </c>
      <c r="D1602" t="s">
        <v>1561</v>
      </c>
      <c r="E1602" t="s">
        <v>21</v>
      </c>
      <c r="F1602" t="str">
        <f>"00292997"</f>
        <v>00292997</v>
      </c>
      <c r="G1602">
        <v>16.75</v>
      </c>
      <c r="H1602">
        <v>0</v>
      </c>
      <c r="I1602">
        <v>0</v>
      </c>
      <c r="J1602">
        <v>0</v>
      </c>
      <c r="K1602">
        <v>0</v>
      </c>
      <c r="L1602">
        <v>7</v>
      </c>
      <c r="O1602">
        <v>7</v>
      </c>
      <c r="P1602">
        <v>4</v>
      </c>
      <c r="Q1602">
        <v>0</v>
      </c>
      <c r="R1602">
        <v>27.75</v>
      </c>
      <c r="S1602">
        <v>0</v>
      </c>
      <c r="T1602">
        <v>0</v>
      </c>
      <c r="U1602">
        <v>6</v>
      </c>
      <c r="V1602">
        <v>0</v>
      </c>
      <c r="X1602">
        <v>33.75</v>
      </c>
    </row>
    <row r="1603" spans="1:24" ht="15">
      <c r="A1603">
        <v>1596</v>
      </c>
      <c r="B1603">
        <v>20738</v>
      </c>
      <c r="C1603" t="s">
        <v>1562</v>
      </c>
      <c r="D1603" t="s">
        <v>252</v>
      </c>
      <c r="E1603" t="s">
        <v>53</v>
      </c>
      <c r="F1603" t="str">
        <f>"00452745"</f>
        <v>00452745</v>
      </c>
      <c r="G1603">
        <v>19.75</v>
      </c>
      <c r="H1603">
        <v>0</v>
      </c>
      <c r="I1603">
        <v>0</v>
      </c>
      <c r="J1603">
        <v>0</v>
      </c>
      <c r="K1603">
        <v>0</v>
      </c>
      <c r="L1603">
        <v>14</v>
      </c>
      <c r="O1603">
        <v>14</v>
      </c>
      <c r="P1603">
        <v>0</v>
      </c>
      <c r="Q1603">
        <v>0</v>
      </c>
      <c r="R1603">
        <v>33.75</v>
      </c>
      <c r="S1603">
        <v>0</v>
      </c>
      <c r="T1603">
        <v>0</v>
      </c>
      <c r="U1603">
        <v>0</v>
      </c>
      <c r="V1603">
        <v>0</v>
      </c>
      <c r="X1603">
        <v>33.75</v>
      </c>
    </row>
    <row r="1604" spans="1:24" ht="15">
      <c r="A1604">
        <v>1597</v>
      </c>
      <c r="B1604">
        <v>54084</v>
      </c>
      <c r="C1604" t="s">
        <v>1563</v>
      </c>
      <c r="D1604" t="s">
        <v>928</v>
      </c>
      <c r="E1604" t="s">
        <v>27</v>
      </c>
      <c r="F1604" t="str">
        <f>"200802004134"</f>
        <v>200802004134</v>
      </c>
      <c r="G1604">
        <v>16.58</v>
      </c>
      <c r="H1604">
        <v>0</v>
      </c>
      <c r="I1604">
        <v>0</v>
      </c>
      <c r="J1604">
        <v>0</v>
      </c>
      <c r="K1604">
        <v>0</v>
      </c>
      <c r="L1604">
        <v>7</v>
      </c>
      <c r="O1604">
        <v>7</v>
      </c>
      <c r="P1604">
        <v>4</v>
      </c>
      <c r="Q1604">
        <v>0</v>
      </c>
      <c r="R1604">
        <v>27.58</v>
      </c>
      <c r="S1604">
        <v>0</v>
      </c>
      <c r="T1604">
        <v>0</v>
      </c>
      <c r="U1604">
        <v>6</v>
      </c>
      <c r="V1604">
        <v>0</v>
      </c>
      <c r="X1604">
        <v>33.58</v>
      </c>
    </row>
    <row r="1605" spans="1:24" ht="15">
      <c r="A1605">
        <v>1598</v>
      </c>
      <c r="B1605">
        <v>92281</v>
      </c>
      <c r="C1605" t="s">
        <v>1564</v>
      </c>
      <c r="D1605" t="s">
        <v>390</v>
      </c>
      <c r="E1605" t="s">
        <v>201</v>
      </c>
      <c r="F1605" t="str">
        <f>"00628098"</f>
        <v>00628098</v>
      </c>
      <c r="G1605">
        <v>17.5</v>
      </c>
      <c r="H1605">
        <v>0</v>
      </c>
      <c r="I1605">
        <v>0</v>
      </c>
      <c r="J1605">
        <v>0</v>
      </c>
      <c r="K1605">
        <v>0</v>
      </c>
      <c r="N1605">
        <v>3</v>
      </c>
      <c r="O1605">
        <v>3</v>
      </c>
      <c r="P1605">
        <v>4</v>
      </c>
      <c r="Q1605">
        <v>0</v>
      </c>
      <c r="R1605">
        <v>24.5</v>
      </c>
      <c r="S1605">
        <v>0</v>
      </c>
      <c r="T1605">
        <v>0</v>
      </c>
      <c r="U1605">
        <v>9</v>
      </c>
      <c r="V1605">
        <v>0</v>
      </c>
      <c r="X1605">
        <v>33.5</v>
      </c>
    </row>
    <row r="1606" spans="1:24" ht="15">
      <c r="A1606">
        <v>1599</v>
      </c>
      <c r="B1606">
        <v>96755</v>
      </c>
      <c r="C1606" t="s">
        <v>1566</v>
      </c>
      <c r="D1606" t="s">
        <v>236</v>
      </c>
      <c r="E1606" t="s">
        <v>111</v>
      </c>
      <c r="F1606" t="str">
        <f>"00636891"</f>
        <v>00636891</v>
      </c>
      <c r="G1606">
        <v>15.48</v>
      </c>
      <c r="H1606">
        <v>7</v>
      </c>
      <c r="I1606">
        <v>0</v>
      </c>
      <c r="J1606">
        <v>0</v>
      </c>
      <c r="K1606">
        <v>0</v>
      </c>
      <c r="L1606">
        <v>7</v>
      </c>
      <c r="O1606">
        <v>7</v>
      </c>
      <c r="P1606">
        <v>4</v>
      </c>
      <c r="Q1606">
        <v>0</v>
      </c>
      <c r="R1606">
        <v>33.48</v>
      </c>
      <c r="S1606">
        <v>0</v>
      </c>
      <c r="T1606">
        <v>0</v>
      </c>
      <c r="U1606">
        <v>0</v>
      </c>
      <c r="V1606">
        <v>0</v>
      </c>
      <c r="X1606">
        <v>33.48</v>
      </c>
    </row>
    <row r="1607" spans="1:24" ht="15">
      <c r="A1607">
        <v>1600</v>
      </c>
      <c r="B1607">
        <v>100066</v>
      </c>
      <c r="C1607" t="s">
        <v>1570</v>
      </c>
      <c r="D1607" t="s">
        <v>1571</v>
      </c>
      <c r="E1607" t="s">
        <v>23</v>
      </c>
      <c r="F1607" t="str">
        <f>"00639881"</f>
        <v>00639881</v>
      </c>
      <c r="G1607">
        <v>22.38</v>
      </c>
      <c r="H1607">
        <v>0</v>
      </c>
      <c r="I1607">
        <v>0</v>
      </c>
      <c r="J1607">
        <v>0</v>
      </c>
      <c r="K1607">
        <v>0</v>
      </c>
      <c r="L1607">
        <v>7</v>
      </c>
      <c r="O1607">
        <v>7</v>
      </c>
      <c r="P1607">
        <v>4</v>
      </c>
      <c r="Q1607">
        <v>0</v>
      </c>
      <c r="R1607">
        <v>33.38</v>
      </c>
      <c r="S1607">
        <v>0</v>
      </c>
      <c r="T1607">
        <v>0</v>
      </c>
      <c r="U1607">
        <v>0</v>
      </c>
      <c r="V1607">
        <v>0</v>
      </c>
      <c r="X1607">
        <v>33.38</v>
      </c>
    </row>
    <row r="1608" spans="1:24" ht="15">
      <c r="A1608">
        <v>1601</v>
      </c>
      <c r="B1608">
        <v>36900</v>
      </c>
      <c r="C1608" t="s">
        <v>1572</v>
      </c>
      <c r="D1608" t="s">
        <v>12</v>
      </c>
      <c r="E1608" t="s">
        <v>30</v>
      </c>
      <c r="F1608" t="str">
        <f>"00623702"</f>
        <v>00623702</v>
      </c>
      <c r="G1608">
        <v>17.25</v>
      </c>
      <c r="H1608">
        <v>0</v>
      </c>
      <c r="I1608">
        <v>0</v>
      </c>
      <c r="J1608">
        <v>0</v>
      </c>
      <c r="K1608">
        <v>0</v>
      </c>
      <c r="N1608">
        <v>3</v>
      </c>
      <c r="O1608">
        <v>3</v>
      </c>
      <c r="P1608">
        <v>4</v>
      </c>
      <c r="Q1608">
        <v>0</v>
      </c>
      <c r="R1608">
        <v>24.25</v>
      </c>
      <c r="S1608">
        <v>0</v>
      </c>
      <c r="T1608">
        <v>0</v>
      </c>
      <c r="U1608">
        <v>9</v>
      </c>
      <c r="V1608">
        <v>0</v>
      </c>
      <c r="X1608">
        <v>33.25</v>
      </c>
    </row>
    <row r="1609" spans="1:24" ht="15">
      <c r="A1609">
        <v>1602</v>
      </c>
      <c r="B1609">
        <v>47049</v>
      </c>
      <c r="C1609" t="s">
        <v>1574</v>
      </c>
      <c r="D1609" t="s">
        <v>35</v>
      </c>
      <c r="E1609" t="s">
        <v>1575</v>
      </c>
      <c r="F1609" t="str">
        <f>"00320821"</f>
        <v>00320821</v>
      </c>
      <c r="G1609">
        <v>20.2</v>
      </c>
      <c r="H1609">
        <v>0</v>
      </c>
      <c r="I1609">
        <v>0</v>
      </c>
      <c r="J1609">
        <v>0</v>
      </c>
      <c r="K1609">
        <v>0</v>
      </c>
      <c r="O1609">
        <v>0</v>
      </c>
      <c r="P1609">
        <v>4</v>
      </c>
      <c r="Q1609">
        <v>0</v>
      </c>
      <c r="R1609">
        <v>24.2</v>
      </c>
      <c r="S1609">
        <v>0</v>
      </c>
      <c r="T1609">
        <v>0</v>
      </c>
      <c r="U1609">
        <v>9</v>
      </c>
      <c r="V1609">
        <v>0</v>
      </c>
      <c r="X1609">
        <v>33.2</v>
      </c>
    </row>
    <row r="1610" spans="1:24" ht="15">
      <c r="A1610">
        <v>1603</v>
      </c>
      <c r="B1610">
        <v>73687</v>
      </c>
      <c r="C1610" t="s">
        <v>1577</v>
      </c>
      <c r="D1610" t="s">
        <v>186</v>
      </c>
      <c r="E1610" t="s">
        <v>113</v>
      </c>
      <c r="F1610" t="str">
        <f>"00496783"</f>
        <v>00496783</v>
      </c>
      <c r="G1610">
        <v>17.13</v>
      </c>
      <c r="H1610">
        <v>0</v>
      </c>
      <c r="I1610">
        <v>0</v>
      </c>
      <c r="J1610">
        <v>0</v>
      </c>
      <c r="K1610">
        <v>0</v>
      </c>
      <c r="N1610">
        <v>3</v>
      </c>
      <c r="O1610">
        <v>3</v>
      </c>
      <c r="P1610">
        <v>4</v>
      </c>
      <c r="Q1610">
        <v>0</v>
      </c>
      <c r="R1610">
        <v>24.13</v>
      </c>
      <c r="S1610">
        <v>0</v>
      </c>
      <c r="T1610">
        <v>0</v>
      </c>
      <c r="U1610">
        <v>9</v>
      </c>
      <c r="V1610">
        <v>0</v>
      </c>
      <c r="X1610">
        <v>33.13</v>
      </c>
    </row>
    <row r="1611" spans="1:24" ht="15">
      <c r="A1611">
        <v>1604</v>
      </c>
      <c r="B1611">
        <v>85030</v>
      </c>
      <c r="C1611" t="s">
        <v>1579</v>
      </c>
      <c r="D1611" t="s">
        <v>253</v>
      </c>
      <c r="E1611" t="s">
        <v>80</v>
      </c>
      <c r="F1611" t="str">
        <f>"00637676"</f>
        <v>00637676</v>
      </c>
      <c r="G1611">
        <v>16.98</v>
      </c>
      <c r="H1611">
        <v>0</v>
      </c>
      <c r="I1611">
        <v>0</v>
      </c>
      <c r="J1611">
        <v>0</v>
      </c>
      <c r="K1611">
        <v>0</v>
      </c>
      <c r="L1611">
        <v>7</v>
      </c>
      <c r="M1611">
        <v>5</v>
      </c>
      <c r="O1611">
        <v>12</v>
      </c>
      <c r="P1611">
        <v>4</v>
      </c>
      <c r="Q1611">
        <v>0</v>
      </c>
      <c r="R1611">
        <v>32.98</v>
      </c>
      <c r="S1611">
        <v>0</v>
      </c>
      <c r="T1611">
        <v>0</v>
      </c>
      <c r="U1611">
        <v>0</v>
      </c>
      <c r="V1611">
        <v>0</v>
      </c>
      <c r="X1611">
        <v>32.98</v>
      </c>
    </row>
    <row r="1612" spans="1:24" ht="15">
      <c r="A1612">
        <v>1605</v>
      </c>
      <c r="B1612">
        <v>33227</v>
      </c>
      <c r="C1612" t="s">
        <v>1580</v>
      </c>
      <c r="D1612" t="s">
        <v>1581</v>
      </c>
      <c r="E1612" t="s">
        <v>1582</v>
      </c>
      <c r="F1612" t="str">
        <f>"00543492"</f>
        <v>00543492</v>
      </c>
      <c r="G1612">
        <v>19.95</v>
      </c>
      <c r="H1612">
        <v>0</v>
      </c>
      <c r="I1612">
        <v>0</v>
      </c>
      <c r="J1612">
        <v>0</v>
      </c>
      <c r="K1612">
        <v>0</v>
      </c>
      <c r="L1612">
        <v>7</v>
      </c>
      <c r="N1612">
        <v>3</v>
      </c>
      <c r="O1612">
        <v>10</v>
      </c>
      <c r="P1612">
        <v>0</v>
      </c>
      <c r="Q1612">
        <v>0</v>
      </c>
      <c r="R1612">
        <v>29.95</v>
      </c>
      <c r="S1612">
        <v>0</v>
      </c>
      <c r="T1612">
        <v>0</v>
      </c>
      <c r="U1612">
        <v>3</v>
      </c>
      <c r="V1612">
        <v>0</v>
      </c>
      <c r="X1612">
        <v>32.95</v>
      </c>
    </row>
    <row r="1613" spans="1:24" ht="15">
      <c r="A1613">
        <v>1606</v>
      </c>
      <c r="B1613">
        <v>48075</v>
      </c>
      <c r="C1613" t="s">
        <v>330</v>
      </c>
      <c r="D1613" t="s">
        <v>153</v>
      </c>
      <c r="E1613" t="s">
        <v>124</v>
      </c>
      <c r="F1613" t="str">
        <f>"00309274"</f>
        <v>00309274</v>
      </c>
      <c r="G1613">
        <v>16.85</v>
      </c>
      <c r="H1613">
        <v>0</v>
      </c>
      <c r="I1613">
        <v>0</v>
      </c>
      <c r="J1613">
        <v>0</v>
      </c>
      <c r="K1613">
        <v>0</v>
      </c>
      <c r="N1613">
        <v>3</v>
      </c>
      <c r="O1613">
        <v>3</v>
      </c>
      <c r="P1613">
        <v>4</v>
      </c>
      <c r="Q1613">
        <v>0</v>
      </c>
      <c r="R1613">
        <v>23.85</v>
      </c>
      <c r="S1613">
        <v>0</v>
      </c>
      <c r="T1613">
        <v>0</v>
      </c>
      <c r="U1613">
        <v>9</v>
      </c>
      <c r="V1613">
        <v>0</v>
      </c>
      <c r="X1613">
        <v>32.85</v>
      </c>
    </row>
    <row r="1614" spans="1:24" ht="15">
      <c r="A1614">
        <v>1607</v>
      </c>
      <c r="B1614">
        <v>30943</v>
      </c>
      <c r="C1614" t="s">
        <v>1583</v>
      </c>
      <c r="D1614" t="s">
        <v>513</v>
      </c>
      <c r="E1614" t="s">
        <v>106</v>
      </c>
      <c r="F1614" t="str">
        <f>"00609498"</f>
        <v>00609498</v>
      </c>
      <c r="G1614">
        <v>21.83</v>
      </c>
      <c r="H1614">
        <v>0</v>
      </c>
      <c r="I1614">
        <v>0</v>
      </c>
      <c r="J1614">
        <v>0</v>
      </c>
      <c r="K1614">
        <v>0</v>
      </c>
      <c r="L1614">
        <v>7</v>
      </c>
      <c r="O1614">
        <v>7</v>
      </c>
      <c r="P1614">
        <v>4</v>
      </c>
      <c r="Q1614">
        <v>0</v>
      </c>
      <c r="R1614">
        <v>32.83</v>
      </c>
      <c r="S1614">
        <v>0</v>
      </c>
      <c r="T1614">
        <v>0</v>
      </c>
      <c r="U1614">
        <v>0</v>
      </c>
      <c r="V1614">
        <v>0</v>
      </c>
      <c r="X1614">
        <v>32.83</v>
      </c>
    </row>
    <row r="1615" spans="1:24" ht="15">
      <c r="A1615">
        <v>1608</v>
      </c>
      <c r="B1615">
        <v>112430</v>
      </c>
      <c r="C1615" t="s">
        <v>1585</v>
      </c>
      <c r="D1615" t="s">
        <v>363</v>
      </c>
      <c r="E1615" t="s">
        <v>76</v>
      </c>
      <c r="F1615" t="str">
        <f>"00488617"</f>
        <v>00488617</v>
      </c>
      <c r="G1615">
        <v>18.78</v>
      </c>
      <c r="H1615">
        <v>0</v>
      </c>
      <c r="I1615">
        <v>0</v>
      </c>
      <c r="J1615">
        <v>0</v>
      </c>
      <c r="K1615">
        <v>0</v>
      </c>
      <c r="L1615">
        <v>7</v>
      </c>
      <c r="N1615">
        <v>3</v>
      </c>
      <c r="O1615">
        <v>10</v>
      </c>
      <c r="P1615">
        <v>4</v>
      </c>
      <c r="Q1615">
        <v>0</v>
      </c>
      <c r="R1615">
        <v>32.78</v>
      </c>
      <c r="S1615">
        <v>0</v>
      </c>
      <c r="T1615">
        <v>0</v>
      </c>
      <c r="U1615">
        <v>0</v>
      </c>
      <c r="V1615">
        <v>0</v>
      </c>
      <c r="X1615">
        <v>32.78</v>
      </c>
    </row>
    <row r="1616" spans="1:24" ht="15">
      <c r="A1616">
        <v>1609</v>
      </c>
      <c r="B1616">
        <v>102265</v>
      </c>
      <c r="C1616" t="s">
        <v>1586</v>
      </c>
      <c r="D1616" t="s">
        <v>1540</v>
      </c>
      <c r="E1616" t="s">
        <v>17</v>
      </c>
      <c r="F1616" t="str">
        <f>"200812000242"</f>
        <v>200812000242</v>
      </c>
      <c r="G1616">
        <v>19.75</v>
      </c>
      <c r="H1616">
        <v>0</v>
      </c>
      <c r="I1616">
        <v>0</v>
      </c>
      <c r="J1616">
        <v>0</v>
      </c>
      <c r="K1616">
        <v>0</v>
      </c>
      <c r="N1616">
        <v>3</v>
      </c>
      <c r="O1616">
        <v>3</v>
      </c>
      <c r="P1616">
        <v>4</v>
      </c>
      <c r="Q1616">
        <v>0</v>
      </c>
      <c r="R1616">
        <v>26.75</v>
      </c>
      <c r="S1616">
        <v>0</v>
      </c>
      <c r="T1616">
        <v>0</v>
      </c>
      <c r="U1616">
        <v>6</v>
      </c>
      <c r="V1616">
        <v>0</v>
      </c>
      <c r="X1616">
        <v>32.75</v>
      </c>
    </row>
    <row r="1617" spans="1:24" ht="15">
      <c r="A1617">
        <v>1610</v>
      </c>
      <c r="B1617">
        <v>55993</v>
      </c>
      <c r="C1617" t="s">
        <v>1419</v>
      </c>
      <c r="D1617" t="s">
        <v>1587</v>
      </c>
      <c r="E1617" t="s">
        <v>30</v>
      </c>
      <c r="F1617" t="str">
        <f>"201504001124"</f>
        <v>201504001124</v>
      </c>
      <c r="G1617">
        <v>18.75</v>
      </c>
      <c r="H1617">
        <v>0</v>
      </c>
      <c r="I1617">
        <v>0</v>
      </c>
      <c r="J1617">
        <v>0</v>
      </c>
      <c r="K1617">
        <v>0</v>
      </c>
      <c r="L1617">
        <v>7</v>
      </c>
      <c r="O1617">
        <v>7</v>
      </c>
      <c r="P1617">
        <v>4</v>
      </c>
      <c r="Q1617">
        <v>0</v>
      </c>
      <c r="R1617">
        <v>29.75</v>
      </c>
      <c r="S1617">
        <v>0</v>
      </c>
      <c r="T1617">
        <v>0</v>
      </c>
      <c r="U1617">
        <v>3</v>
      </c>
      <c r="V1617">
        <v>0</v>
      </c>
      <c r="X1617">
        <v>32.75</v>
      </c>
    </row>
    <row r="1618" spans="1:24" ht="15">
      <c r="A1618">
        <v>1611</v>
      </c>
      <c r="B1618">
        <v>90511</v>
      </c>
      <c r="C1618" t="s">
        <v>1589</v>
      </c>
      <c r="D1618" t="s">
        <v>1590</v>
      </c>
      <c r="E1618" t="s">
        <v>175</v>
      </c>
      <c r="F1618" t="str">
        <f>"00638395"</f>
        <v>00638395</v>
      </c>
      <c r="G1618">
        <v>21.73</v>
      </c>
      <c r="H1618">
        <v>0</v>
      </c>
      <c r="I1618">
        <v>0</v>
      </c>
      <c r="J1618">
        <v>0</v>
      </c>
      <c r="K1618">
        <v>0</v>
      </c>
      <c r="L1618">
        <v>7</v>
      </c>
      <c r="O1618">
        <v>7</v>
      </c>
      <c r="P1618">
        <v>4</v>
      </c>
      <c r="Q1618">
        <v>0</v>
      </c>
      <c r="R1618">
        <v>32.73</v>
      </c>
      <c r="S1618">
        <v>0</v>
      </c>
      <c r="T1618">
        <v>0</v>
      </c>
      <c r="U1618">
        <v>0</v>
      </c>
      <c r="V1618">
        <v>0</v>
      </c>
      <c r="X1618">
        <v>32.73</v>
      </c>
    </row>
    <row r="1619" spans="1:24" ht="15">
      <c r="A1619">
        <v>1612</v>
      </c>
      <c r="B1619">
        <v>12723</v>
      </c>
      <c r="C1619" t="s">
        <v>1591</v>
      </c>
      <c r="D1619" t="s">
        <v>153</v>
      </c>
      <c r="E1619" t="s">
        <v>289</v>
      </c>
      <c r="F1619" t="str">
        <f>"00008094"</f>
        <v>00008094</v>
      </c>
      <c r="G1619">
        <v>18.7</v>
      </c>
      <c r="H1619">
        <v>0</v>
      </c>
      <c r="I1619">
        <v>0</v>
      </c>
      <c r="J1619">
        <v>0</v>
      </c>
      <c r="K1619">
        <v>0</v>
      </c>
      <c r="L1619">
        <v>7</v>
      </c>
      <c r="N1619">
        <v>3</v>
      </c>
      <c r="O1619">
        <v>10</v>
      </c>
      <c r="P1619">
        <v>4</v>
      </c>
      <c r="Q1619">
        <v>0</v>
      </c>
      <c r="R1619">
        <v>32.7</v>
      </c>
      <c r="S1619">
        <v>0</v>
      </c>
      <c r="T1619">
        <v>0</v>
      </c>
      <c r="U1619">
        <v>0</v>
      </c>
      <c r="V1619">
        <v>0</v>
      </c>
      <c r="X1619">
        <v>32.7</v>
      </c>
    </row>
    <row r="1620" spans="1:24" ht="15">
      <c r="A1620">
        <v>1613</v>
      </c>
      <c r="B1620">
        <v>19836</v>
      </c>
      <c r="C1620" t="s">
        <v>1594</v>
      </c>
      <c r="D1620" t="s">
        <v>80</v>
      </c>
      <c r="E1620" t="s">
        <v>101</v>
      </c>
      <c r="F1620" t="str">
        <f>"201406002411"</f>
        <v>201406002411</v>
      </c>
      <c r="G1620">
        <v>15.55</v>
      </c>
      <c r="H1620">
        <v>7</v>
      </c>
      <c r="I1620">
        <v>0</v>
      </c>
      <c r="J1620">
        <v>0</v>
      </c>
      <c r="K1620">
        <v>0</v>
      </c>
      <c r="N1620">
        <v>3</v>
      </c>
      <c r="O1620">
        <v>3</v>
      </c>
      <c r="P1620">
        <v>4</v>
      </c>
      <c r="Q1620">
        <v>0</v>
      </c>
      <c r="R1620">
        <v>29.55</v>
      </c>
      <c r="S1620">
        <v>0</v>
      </c>
      <c r="T1620">
        <v>0</v>
      </c>
      <c r="U1620">
        <v>3</v>
      </c>
      <c r="V1620">
        <v>0</v>
      </c>
      <c r="X1620">
        <v>32.55</v>
      </c>
    </row>
    <row r="1621" spans="1:24" ht="15">
      <c r="A1621">
        <v>1614</v>
      </c>
      <c r="B1621">
        <v>86107</v>
      </c>
      <c r="C1621" t="s">
        <v>1595</v>
      </c>
      <c r="D1621" t="s">
        <v>1596</v>
      </c>
      <c r="E1621" t="s">
        <v>1023</v>
      </c>
      <c r="F1621" t="str">
        <f>"00465217"</f>
        <v>00465217</v>
      </c>
      <c r="G1621">
        <v>15.53</v>
      </c>
      <c r="H1621">
        <v>0</v>
      </c>
      <c r="I1621">
        <v>0</v>
      </c>
      <c r="J1621">
        <v>0</v>
      </c>
      <c r="K1621">
        <v>0</v>
      </c>
      <c r="L1621">
        <v>7</v>
      </c>
      <c r="O1621">
        <v>7</v>
      </c>
      <c r="P1621">
        <v>4</v>
      </c>
      <c r="Q1621">
        <v>0</v>
      </c>
      <c r="R1621">
        <v>26.53</v>
      </c>
      <c r="S1621">
        <v>0</v>
      </c>
      <c r="T1621">
        <v>0</v>
      </c>
      <c r="U1621">
        <v>6</v>
      </c>
      <c r="V1621">
        <v>0</v>
      </c>
      <c r="X1621">
        <v>32.53</v>
      </c>
    </row>
    <row r="1622" spans="1:24" ht="15">
      <c r="A1622">
        <v>1615</v>
      </c>
      <c r="B1622">
        <v>21493</v>
      </c>
      <c r="C1622" t="s">
        <v>1597</v>
      </c>
      <c r="D1622" t="s">
        <v>1598</v>
      </c>
      <c r="E1622" t="s">
        <v>12</v>
      </c>
      <c r="F1622" t="str">
        <f>"00562217"</f>
        <v>00562217</v>
      </c>
      <c r="G1622">
        <v>15.53</v>
      </c>
      <c r="H1622">
        <v>0</v>
      </c>
      <c r="I1622">
        <v>0</v>
      </c>
      <c r="J1622">
        <v>0</v>
      </c>
      <c r="K1622">
        <v>0</v>
      </c>
      <c r="L1622">
        <v>7</v>
      </c>
      <c r="O1622">
        <v>7</v>
      </c>
      <c r="P1622">
        <v>4</v>
      </c>
      <c r="Q1622">
        <v>0</v>
      </c>
      <c r="R1622">
        <v>26.53</v>
      </c>
      <c r="S1622">
        <v>0</v>
      </c>
      <c r="T1622">
        <v>0</v>
      </c>
      <c r="U1622">
        <v>6</v>
      </c>
      <c r="V1622">
        <v>0</v>
      </c>
      <c r="X1622">
        <v>32.53</v>
      </c>
    </row>
    <row r="1623" spans="1:24" ht="15">
      <c r="A1623">
        <v>1616</v>
      </c>
      <c r="B1623">
        <v>8729</v>
      </c>
      <c r="C1623" t="s">
        <v>1599</v>
      </c>
      <c r="D1623" t="s">
        <v>428</v>
      </c>
      <c r="E1623" t="s">
        <v>21</v>
      </c>
      <c r="F1623" t="str">
        <f>"00565188"</f>
        <v>00565188</v>
      </c>
      <c r="G1623">
        <v>16.53</v>
      </c>
      <c r="H1623">
        <v>0</v>
      </c>
      <c r="I1623">
        <v>0</v>
      </c>
      <c r="J1623">
        <v>0</v>
      </c>
      <c r="K1623">
        <v>0</v>
      </c>
      <c r="L1623">
        <v>7</v>
      </c>
      <c r="M1623">
        <v>5</v>
      </c>
      <c r="O1623">
        <v>12</v>
      </c>
      <c r="P1623">
        <v>4</v>
      </c>
      <c r="Q1623">
        <v>0</v>
      </c>
      <c r="R1623">
        <v>32.53</v>
      </c>
      <c r="S1623">
        <v>0</v>
      </c>
      <c r="T1623">
        <v>0</v>
      </c>
      <c r="U1623">
        <v>0</v>
      </c>
      <c r="V1623">
        <v>0</v>
      </c>
      <c r="X1623">
        <v>32.53</v>
      </c>
    </row>
    <row r="1624" spans="1:24" ht="15">
      <c r="A1624">
        <v>1617</v>
      </c>
      <c r="B1624">
        <v>36871</v>
      </c>
      <c r="C1624" t="s">
        <v>1602</v>
      </c>
      <c r="D1624" t="s">
        <v>113</v>
      </c>
      <c r="E1624" t="s">
        <v>106</v>
      </c>
      <c r="F1624" t="str">
        <f>"00611857"</f>
        <v>00611857</v>
      </c>
      <c r="G1624">
        <v>16.5</v>
      </c>
      <c r="H1624">
        <v>0</v>
      </c>
      <c r="I1624">
        <v>0</v>
      </c>
      <c r="J1624">
        <v>0</v>
      </c>
      <c r="K1624">
        <v>0</v>
      </c>
      <c r="M1624">
        <v>5</v>
      </c>
      <c r="O1624">
        <v>5</v>
      </c>
      <c r="P1624">
        <v>4</v>
      </c>
      <c r="Q1624">
        <v>0</v>
      </c>
      <c r="R1624">
        <v>25.5</v>
      </c>
      <c r="S1624">
        <v>1</v>
      </c>
      <c r="T1624">
        <v>1</v>
      </c>
      <c r="U1624">
        <v>6</v>
      </c>
      <c r="V1624">
        <v>0</v>
      </c>
      <c r="X1624">
        <v>32.5</v>
      </c>
    </row>
    <row r="1625" spans="1:24" ht="15">
      <c r="A1625">
        <v>1618</v>
      </c>
      <c r="B1625">
        <v>14799</v>
      </c>
      <c r="C1625" t="s">
        <v>1608</v>
      </c>
      <c r="D1625" t="s">
        <v>180</v>
      </c>
      <c r="E1625" t="s">
        <v>91</v>
      </c>
      <c r="F1625" t="str">
        <f>"00430533"</f>
        <v>00430533</v>
      </c>
      <c r="G1625">
        <v>21.3</v>
      </c>
      <c r="H1625">
        <v>0</v>
      </c>
      <c r="I1625">
        <v>0</v>
      </c>
      <c r="J1625">
        <v>0</v>
      </c>
      <c r="K1625">
        <v>0</v>
      </c>
      <c r="L1625">
        <v>7</v>
      </c>
      <c r="O1625">
        <v>7</v>
      </c>
      <c r="P1625">
        <v>4</v>
      </c>
      <c r="Q1625">
        <v>0</v>
      </c>
      <c r="R1625">
        <v>32.3</v>
      </c>
      <c r="S1625">
        <v>0</v>
      </c>
      <c r="T1625">
        <v>0</v>
      </c>
      <c r="U1625">
        <v>0</v>
      </c>
      <c r="V1625">
        <v>0</v>
      </c>
      <c r="X1625">
        <v>32.3</v>
      </c>
    </row>
    <row r="1626" spans="1:24" ht="15">
      <c r="A1626">
        <v>1619</v>
      </c>
      <c r="B1626">
        <v>113200</v>
      </c>
      <c r="C1626" t="s">
        <v>1609</v>
      </c>
      <c r="D1626" t="s">
        <v>135</v>
      </c>
      <c r="E1626" t="s">
        <v>12</v>
      </c>
      <c r="F1626" t="str">
        <f>"00429031"</f>
        <v>00429031</v>
      </c>
      <c r="G1626">
        <v>16.1</v>
      </c>
      <c r="H1626">
        <v>0</v>
      </c>
      <c r="I1626">
        <v>0</v>
      </c>
      <c r="J1626">
        <v>0</v>
      </c>
      <c r="K1626">
        <v>0</v>
      </c>
      <c r="N1626">
        <v>3</v>
      </c>
      <c r="O1626">
        <v>3</v>
      </c>
      <c r="P1626">
        <v>4</v>
      </c>
      <c r="Q1626">
        <v>0</v>
      </c>
      <c r="R1626">
        <v>23.1</v>
      </c>
      <c r="S1626">
        <v>0</v>
      </c>
      <c r="T1626">
        <v>0</v>
      </c>
      <c r="U1626">
        <v>9</v>
      </c>
      <c r="V1626">
        <v>0</v>
      </c>
      <c r="X1626">
        <v>32.1</v>
      </c>
    </row>
    <row r="1627" spans="1:24" ht="15">
      <c r="A1627">
        <v>1620</v>
      </c>
      <c r="B1627">
        <v>105761</v>
      </c>
      <c r="C1627" t="s">
        <v>1610</v>
      </c>
      <c r="D1627" t="s">
        <v>1611</v>
      </c>
      <c r="E1627" t="s">
        <v>20</v>
      </c>
      <c r="F1627" t="str">
        <f>"00640943"</f>
        <v>00640943</v>
      </c>
      <c r="G1627">
        <v>16.08</v>
      </c>
      <c r="H1627">
        <v>0</v>
      </c>
      <c r="I1627">
        <v>0</v>
      </c>
      <c r="J1627">
        <v>0</v>
      </c>
      <c r="K1627">
        <v>0</v>
      </c>
      <c r="N1627">
        <v>6</v>
      </c>
      <c r="O1627">
        <v>6</v>
      </c>
      <c r="P1627">
        <v>4</v>
      </c>
      <c r="Q1627">
        <v>0</v>
      </c>
      <c r="R1627">
        <v>26.08</v>
      </c>
      <c r="S1627">
        <v>0</v>
      </c>
      <c r="T1627">
        <v>0</v>
      </c>
      <c r="U1627">
        <v>6</v>
      </c>
      <c r="V1627">
        <v>0</v>
      </c>
      <c r="X1627">
        <v>32.08</v>
      </c>
    </row>
    <row r="1628" spans="1:24" ht="15">
      <c r="A1628">
        <v>1621</v>
      </c>
      <c r="B1628">
        <v>4116</v>
      </c>
      <c r="C1628" t="s">
        <v>1614</v>
      </c>
      <c r="D1628" t="s">
        <v>1615</v>
      </c>
      <c r="E1628" t="s">
        <v>21</v>
      </c>
      <c r="F1628" t="str">
        <f>"00225455"</f>
        <v>00225455</v>
      </c>
      <c r="G1628">
        <v>15</v>
      </c>
      <c r="H1628">
        <v>0</v>
      </c>
      <c r="I1628">
        <v>0</v>
      </c>
      <c r="J1628">
        <v>0</v>
      </c>
      <c r="K1628">
        <v>0</v>
      </c>
      <c r="L1628">
        <v>7</v>
      </c>
      <c r="O1628">
        <v>7</v>
      </c>
      <c r="P1628">
        <v>4</v>
      </c>
      <c r="Q1628">
        <v>0</v>
      </c>
      <c r="R1628">
        <v>26</v>
      </c>
      <c r="S1628">
        <v>0</v>
      </c>
      <c r="T1628">
        <v>0</v>
      </c>
      <c r="U1628">
        <v>6</v>
      </c>
      <c r="V1628">
        <v>0</v>
      </c>
      <c r="X1628">
        <v>32</v>
      </c>
    </row>
    <row r="1629" spans="1:24" ht="15">
      <c r="A1629">
        <v>1622</v>
      </c>
      <c r="B1629">
        <v>66956</v>
      </c>
      <c r="C1629" t="s">
        <v>1616</v>
      </c>
      <c r="D1629" t="s">
        <v>474</v>
      </c>
      <c r="E1629" t="s">
        <v>95</v>
      </c>
      <c r="F1629" t="str">
        <f>"00620001"</f>
        <v>00620001</v>
      </c>
      <c r="G1629">
        <v>18</v>
      </c>
      <c r="H1629">
        <v>7</v>
      </c>
      <c r="I1629">
        <v>0</v>
      </c>
      <c r="J1629">
        <v>0</v>
      </c>
      <c r="K1629">
        <v>0</v>
      </c>
      <c r="L1629">
        <v>7</v>
      </c>
      <c r="O1629">
        <v>7</v>
      </c>
      <c r="P1629">
        <v>0</v>
      </c>
      <c r="Q1629">
        <v>0</v>
      </c>
      <c r="R1629">
        <v>32</v>
      </c>
      <c r="S1629">
        <v>0</v>
      </c>
      <c r="T1629">
        <v>0</v>
      </c>
      <c r="U1629">
        <v>0</v>
      </c>
      <c r="V1629">
        <v>0</v>
      </c>
      <c r="X1629">
        <v>32</v>
      </c>
    </row>
    <row r="1630" spans="1:24" ht="15">
      <c r="A1630">
        <v>1623</v>
      </c>
      <c r="B1630">
        <v>109597</v>
      </c>
      <c r="C1630" t="s">
        <v>1617</v>
      </c>
      <c r="D1630" t="s">
        <v>333</v>
      </c>
      <c r="E1630" t="s">
        <v>17</v>
      </c>
      <c r="F1630" t="str">
        <f>"00467880"</f>
        <v>00467880</v>
      </c>
      <c r="G1630">
        <v>17.98</v>
      </c>
      <c r="H1630">
        <v>0</v>
      </c>
      <c r="I1630">
        <v>0</v>
      </c>
      <c r="J1630">
        <v>0</v>
      </c>
      <c r="K1630">
        <v>0</v>
      </c>
      <c r="L1630">
        <v>7</v>
      </c>
      <c r="N1630">
        <v>3</v>
      </c>
      <c r="O1630">
        <v>10</v>
      </c>
      <c r="P1630">
        <v>4</v>
      </c>
      <c r="Q1630">
        <v>0</v>
      </c>
      <c r="R1630">
        <v>31.98</v>
      </c>
      <c r="S1630">
        <v>0</v>
      </c>
      <c r="T1630">
        <v>0</v>
      </c>
      <c r="U1630">
        <v>0</v>
      </c>
      <c r="V1630">
        <v>0</v>
      </c>
      <c r="X1630">
        <v>31.98</v>
      </c>
    </row>
    <row r="1631" spans="1:24" ht="15">
      <c r="A1631">
        <v>1624</v>
      </c>
      <c r="B1631">
        <v>115626</v>
      </c>
      <c r="C1631" t="s">
        <v>1622</v>
      </c>
      <c r="D1631" t="s">
        <v>363</v>
      </c>
      <c r="E1631" t="s">
        <v>1540</v>
      </c>
      <c r="F1631" t="str">
        <f>"00499414"</f>
        <v>00499414</v>
      </c>
      <c r="G1631">
        <v>17.88</v>
      </c>
      <c r="H1631">
        <v>0</v>
      </c>
      <c r="I1631">
        <v>0</v>
      </c>
      <c r="J1631">
        <v>0</v>
      </c>
      <c r="K1631">
        <v>0</v>
      </c>
      <c r="L1631">
        <v>7</v>
      </c>
      <c r="O1631">
        <v>7</v>
      </c>
      <c r="P1631">
        <v>4</v>
      </c>
      <c r="Q1631">
        <v>0</v>
      </c>
      <c r="R1631">
        <v>28.88</v>
      </c>
      <c r="S1631">
        <v>0</v>
      </c>
      <c r="T1631">
        <v>0</v>
      </c>
      <c r="U1631">
        <v>3</v>
      </c>
      <c r="V1631">
        <v>0</v>
      </c>
      <c r="X1631">
        <v>31.88</v>
      </c>
    </row>
    <row r="1632" spans="1:24" ht="15">
      <c r="A1632">
        <v>1625</v>
      </c>
      <c r="B1632">
        <v>29358</v>
      </c>
      <c r="C1632" t="s">
        <v>1623</v>
      </c>
      <c r="D1632" t="s">
        <v>296</v>
      </c>
      <c r="E1632" t="s">
        <v>507</v>
      </c>
      <c r="F1632" t="str">
        <f>"00547595"</f>
        <v>00547595</v>
      </c>
      <c r="G1632">
        <v>17.8</v>
      </c>
      <c r="H1632">
        <v>0</v>
      </c>
      <c r="I1632">
        <v>0</v>
      </c>
      <c r="J1632">
        <v>0</v>
      </c>
      <c r="K1632">
        <v>0</v>
      </c>
      <c r="L1632">
        <v>7</v>
      </c>
      <c r="N1632">
        <v>3</v>
      </c>
      <c r="O1632">
        <v>10</v>
      </c>
      <c r="P1632">
        <v>4</v>
      </c>
      <c r="Q1632">
        <v>0</v>
      </c>
      <c r="R1632">
        <v>31.8</v>
      </c>
      <c r="S1632">
        <v>0</v>
      </c>
      <c r="T1632">
        <v>0</v>
      </c>
      <c r="U1632">
        <v>0</v>
      </c>
      <c r="V1632">
        <v>0</v>
      </c>
      <c r="X1632">
        <v>31.8</v>
      </c>
    </row>
    <row r="1633" spans="1:24" ht="15">
      <c r="A1633">
        <v>1626</v>
      </c>
      <c r="B1633">
        <v>43683</v>
      </c>
      <c r="C1633" t="s">
        <v>1624</v>
      </c>
      <c r="D1633" t="s">
        <v>29</v>
      </c>
      <c r="E1633" t="s">
        <v>17</v>
      </c>
      <c r="F1633" t="str">
        <f>"00199073"</f>
        <v>00199073</v>
      </c>
      <c r="G1633">
        <v>15.75</v>
      </c>
      <c r="H1633">
        <v>0</v>
      </c>
      <c r="I1633">
        <v>0</v>
      </c>
      <c r="J1633">
        <v>0</v>
      </c>
      <c r="K1633">
        <v>0</v>
      </c>
      <c r="O1633">
        <v>0</v>
      </c>
      <c r="P1633">
        <v>4</v>
      </c>
      <c r="Q1633">
        <v>0</v>
      </c>
      <c r="R1633">
        <v>19.75</v>
      </c>
      <c r="S1633">
        <v>0</v>
      </c>
      <c r="T1633">
        <v>0</v>
      </c>
      <c r="U1633">
        <v>12</v>
      </c>
      <c r="V1633">
        <v>0</v>
      </c>
      <c r="X1633">
        <v>31.75</v>
      </c>
    </row>
    <row r="1634" spans="1:24" ht="15">
      <c r="A1634">
        <v>1627</v>
      </c>
      <c r="B1634">
        <v>72995</v>
      </c>
      <c r="C1634" t="s">
        <v>1625</v>
      </c>
      <c r="D1634" t="s">
        <v>1533</v>
      </c>
      <c r="E1634" t="s">
        <v>91</v>
      </c>
      <c r="F1634" t="str">
        <f>"00614901"</f>
        <v>00614901</v>
      </c>
      <c r="G1634">
        <v>20.65</v>
      </c>
      <c r="H1634">
        <v>0</v>
      </c>
      <c r="I1634">
        <v>0</v>
      </c>
      <c r="J1634">
        <v>0</v>
      </c>
      <c r="K1634">
        <v>0</v>
      </c>
      <c r="L1634">
        <v>7</v>
      </c>
      <c r="O1634">
        <v>7</v>
      </c>
      <c r="P1634">
        <v>4</v>
      </c>
      <c r="Q1634">
        <v>0</v>
      </c>
      <c r="R1634">
        <v>31.65</v>
      </c>
      <c r="S1634">
        <v>0</v>
      </c>
      <c r="T1634">
        <v>0</v>
      </c>
      <c r="U1634">
        <v>0</v>
      </c>
      <c r="V1634">
        <v>0</v>
      </c>
      <c r="X1634">
        <v>31.65</v>
      </c>
    </row>
    <row r="1635" spans="1:24" ht="15">
      <c r="A1635">
        <v>1628</v>
      </c>
      <c r="B1635">
        <v>90373</v>
      </c>
      <c r="C1635" t="s">
        <v>1515</v>
      </c>
      <c r="D1635" t="s">
        <v>1627</v>
      </c>
      <c r="E1635" t="s">
        <v>12</v>
      </c>
      <c r="F1635" t="str">
        <f>"00644032"</f>
        <v>00644032</v>
      </c>
      <c r="G1635">
        <v>21.5</v>
      </c>
      <c r="H1635">
        <v>0</v>
      </c>
      <c r="I1635">
        <v>0</v>
      </c>
      <c r="J1635">
        <v>0</v>
      </c>
      <c r="K1635">
        <v>0</v>
      </c>
      <c r="N1635">
        <v>3</v>
      </c>
      <c r="O1635">
        <v>3</v>
      </c>
      <c r="P1635">
        <v>4</v>
      </c>
      <c r="Q1635">
        <v>0</v>
      </c>
      <c r="R1635">
        <v>28.5</v>
      </c>
      <c r="S1635">
        <v>0</v>
      </c>
      <c r="T1635">
        <v>0</v>
      </c>
      <c r="U1635">
        <v>3</v>
      </c>
      <c r="V1635">
        <v>0</v>
      </c>
      <c r="X1635">
        <v>31.5</v>
      </c>
    </row>
    <row r="1636" spans="1:24" ht="15">
      <c r="A1636">
        <v>1629</v>
      </c>
      <c r="B1636">
        <v>9348</v>
      </c>
      <c r="C1636" t="s">
        <v>703</v>
      </c>
      <c r="D1636" t="s">
        <v>29</v>
      </c>
      <c r="E1636" t="s">
        <v>53</v>
      </c>
      <c r="F1636" t="str">
        <f>"201504000025"</f>
        <v>201504000025</v>
      </c>
      <c r="G1636">
        <v>17.5</v>
      </c>
      <c r="H1636">
        <v>0</v>
      </c>
      <c r="I1636">
        <v>0</v>
      </c>
      <c r="J1636">
        <v>0</v>
      </c>
      <c r="K1636">
        <v>0</v>
      </c>
      <c r="L1636">
        <v>7</v>
      </c>
      <c r="O1636">
        <v>7</v>
      </c>
      <c r="P1636">
        <v>4</v>
      </c>
      <c r="Q1636">
        <v>0</v>
      </c>
      <c r="R1636">
        <v>28.5</v>
      </c>
      <c r="S1636">
        <v>0</v>
      </c>
      <c r="T1636">
        <v>0</v>
      </c>
      <c r="U1636">
        <v>3</v>
      </c>
      <c r="V1636">
        <v>0</v>
      </c>
      <c r="X1636">
        <v>31.5</v>
      </c>
    </row>
    <row r="1637" spans="1:24" ht="15">
      <c r="A1637">
        <v>1630</v>
      </c>
      <c r="B1637">
        <v>35532</v>
      </c>
      <c r="C1637" t="s">
        <v>1631</v>
      </c>
      <c r="D1637" t="s">
        <v>16</v>
      </c>
      <c r="E1637" t="s">
        <v>139</v>
      </c>
      <c r="F1637" t="str">
        <f>"00628736"</f>
        <v>00628736</v>
      </c>
      <c r="G1637">
        <v>21.45</v>
      </c>
      <c r="H1637">
        <v>0</v>
      </c>
      <c r="I1637">
        <v>0</v>
      </c>
      <c r="J1637">
        <v>0</v>
      </c>
      <c r="K1637">
        <v>0</v>
      </c>
      <c r="L1637">
        <v>7</v>
      </c>
      <c r="N1637">
        <v>3</v>
      </c>
      <c r="O1637">
        <v>10</v>
      </c>
      <c r="P1637">
        <v>0</v>
      </c>
      <c r="Q1637">
        <v>0</v>
      </c>
      <c r="R1637">
        <v>31.45</v>
      </c>
      <c r="S1637">
        <v>0</v>
      </c>
      <c r="T1637">
        <v>0</v>
      </c>
      <c r="U1637">
        <v>0</v>
      </c>
      <c r="V1637">
        <v>0</v>
      </c>
      <c r="X1637">
        <v>31.45</v>
      </c>
    </row>
    <row r="1638" spans="1:24" ht="15">
      <c r="A1638">
        <v>1631</v>
      </c>
      <c r="B1638">
        <v>79877</v>
      </c>
      <c r="C1638" t="s">
        <v>1632</v>
      </c>
      <c r="D1638" t="s">
        <v>80</v>
      </c>
      <c r="E1638" t="s">
        <v>139</v>
      </c>
      <c r="F1638" t="str">
        <f>"00467615"</f>
        <v>00467615</v>
      </c>
      <c r="G1638">
        <v>20.43</v>
      </c>
      <c r="H1638">
        <v>7</v>
      </c>
      <c r="I1638">
        <v>0</v>
      </c>
      <c r="J1638">
        <v>0</v>
      </c>
      <c r="K1638">
        <v>0</v>
      </c>
      <c r="O1638">
        <v>0</v>
      </c>
      <c r="P1638">
        <v>4</v>
      </c>
      <c r="Q1638">
        <v>0</v>
      </c>
      <c r="R1638">
        <v>31.43</v>
      </c>
      <c r="S1638">
        <v>0</v>
      </c>
      <c r="T1638">
        <v>0</v>
      </c>
      <c r="U1638">
        <v>0</v>
      </c>
      <c r="V1638">
        <v>0</v>
      </c>
      <c r="X1638">
        <v>31.43</v>
      </c>
    </row>
    <row r="1639" spans="1:24" ht="15">
      <c r="A1639">
        <v>1632</v>
      </c>
      <c r="B1639">
        <v>113247</v>
      </c>
      <c r="C1639" t="s">
        <v>1634</v>
      </c>
      <c r="D1639" t="s">
        <v>44</v>
      </c>
      <c r="E1639" t="s">
        <v>930</v>
      </c>
      <c r="F1639" t="str">
        <f>"00639729"</f>
        <v>00639729</v>
      </c>
      <c r="G1639">
        <v>17.43</v>
      </c>
      <c r="H1639">
        <v>0</v>
      </c>
      <c r="I1639">
        <v>0</v>
      </c>
      <c r="J1639">
        <v>0</v>
      </c>
      <c r="K1639">
        <v>0</v>
      </c>
      <c r="L1639">
        <v>7</v>
      </c>
      <c r="N1639">
        <v>3</v>
      </c>
      <c r="O1639">
        <v>10</v>
      </c>
      <c r="P1639">
        <v>4</v>
      </c>
      <c r="Q1639">
        <v>0</v>
      </c>
      <c r="R1639">
        <v>31.43</v>
      </c>
      <c r="S1639">
        <v>0</v>
      </c>
      <c r="T1639">
        <v>0</v>
      </c>
      <c r="U1639">
        <v>0</v>
      </c>
      <c r="V1639">
        <v>0</v>
      </c>
      <c r="X1639">
        <v>31.43</v>
      </c>
    </row>
    <row r="1640" spans="1:24" ht="15">
      <c r="A1640">
        <v>1633</v>
      </c>
      <c r="B1640">
        <v>87279</v>
      </c>
      <c r="C1640" t="s">
        <v>1635</v>
      </c>
      <c r="D1640" t="s">
        <v>16</v>
      </c>
      <c r="E1640" t="s">
        <v>12</v>
      </c>
      <c r="F1640" t="str">
        <f>"00199071"</f>
        <v>00199071</v>
      </c>
      <c r="G1640">
        <v>15.38</v>
      </c>
      <c r="H1640">
        <v>0</v>
      </c>
      <c r="I1640">
        <v>0</v>
      </c>
      <c r="J1640">
        <v>0</v>
      </c>
      <c r="K1640">
        <v>0</v>
      </c>
      <c r="N1640">
        <v>3</v>
      </c>
      <c r="O1640">
        <v>3</v>
      </c>
      <c r="P1640">
        <v>4</v>
      </c>
      <c r="Q1640">
        <v>0</v>
      </c>
      <c r="R1640">
        <v>22.38</v>
      </c>
      <c r="S1640">
        <v>0</v>
      </c>
      <c r="T1640">
        <v>0</v>
      </c>
      <c r="U1640">
        <v>9</v>
      </c>
      <c r="V1640">
        <v>0</v>
      </c>
      <c r="X1640">
        <v>31.38</v>
      </c>
    </row>
    <row r="1641" spans="1:24" ht="15">
      <c r="A1641">
        <v>1634</v>
      </c>
      <c r="B1641">
        <v>51068</v>
      </c>
      <c r="C1641" t="s">
        <v>1636</v>
      </c>
      <c r="D1641" t="s">
        <v>1637</v>
      </c>
      <c r="E1641" t="s">
        <v>1638</v>
      </c>
      <c r="F1641" t="str">
        <f>"00004507"</f>
        <v>00004507</v>
      </c>
      <c r="G1641">
        <v>17.38</v>
      </c>
      <c r="H1641">
        <v>0</v>
      </c>
      <c r="I1641">
        <v>0</v>
      </c>
      <c r="J1641">
        <v>0</v>
      </c>
      <c r="K1641">
        <v>0</v>
      </c>
      <c r="L1641">
        <v>7</v>
      </c>
      <c r="O1641">
        <v>7</v>
      </c>
      <c r="P1641">
        <v>4</v>
      </c>
      <c r="Q1641">
        <v>0</v>
      </c>
      <c r="R1641">
        <v>28.38</v>
      </c>
      <c r="S1641">
        <v>0</v>
      </c>
      <c r="T1641">
        <v>0</v>
      </c>
      <c r="U1641">
        <v>3</v>
      </c>
      <c r="V1641">
        <v>0</v>
      </c>
      <c r="X1641">
        <v>31.38</v>
      </c>
    </row>
    <row r="1642" spans="1:24" ht="15">
      <c r="A1642">
        <v>1635</v>
      </c>
      <c r="B1642">
        <v>99385</v>
      </c>
      <c r="C1642" t="s">
        <v>1640</v>
      </c>
      <c r="D1642" t="s">
        <v>738</v>
      </c>
      <c r="E1642" t="s">
        <v>113</v>
      </c>
      <c r="F1642" t="str">
        <f>"00648624"</f>
        <v>00648624</v>
      </c>
      <c r="G1642">
        <v>15.33</v>
      </c>
      <c r="H1642">
        <v>0</v>
      </c>
      <c r="I1642">
        <v>0</v>
      </c>
      <c r="J1642">
        <v>0</v>
      </c>
      <c r="K1642">
        <v>0</v>
      </c>
      <c r="N1642">
        <v>6</v>
      </c>
      <c r="O1642">
        <v>6</v>
      </c>
      <c r="P1642">
        <v>4</v>
      </c>
      <c r="Q1642">
        <v>0</v>
      </c>
      <c r="R1642">
        <v>25.33</v>
      </c>
      <c r="S1642">
        <v>0</v>
      </c>
      <c r="T1642">
        <v>0</v>
      </c>
      <c r="U1642">
        <v>6</v>
      </c>
      <c r="V1642">
        <v>0</v>
      </c>
      <c r="X1642">
        <v>31.33</v>
      </c>
    </row>
    <row r="1643" spans="1:24" ht="15">
      <c r="A1643">
        <v>1636</v>
      </c>
      <c r="B1643">
        <v>59340</v>
      </c>
      <c r="C1643" t="s">
        <v>1641</v>
      </c>
      <c r="D1643" t="s">
        <v>53</v>
      </c>
      <c r="E1643" t="s">
        <v>1642</v>
      </c>
      <c r="F1643" t="str">
        <f>"00609405"</f>
        <v>00609405</v>
      </c>
      <c r="G1643">
        <v>14.3</v>
      </c>
      <c r="H1643">
        <v>0</v>
      </c>
      <c r="I1643">
        <v>0</v>
      </c>
      <c r="J1643">
        <v>0</v>
      </c>
      <c r="K1643">
        <v>0</v>
      </c>
      <c r="L1643">
        <v>7</v>
      </c>
      <c r="O1643">
        <v>7</v>
      </c>
      <c r="P1643">
        <v>4</v>
      </c>
      <c r="Q1643">
        <v>0</v>
      </c>
      <c r="R1643">
        <v>25.3</v>
      </c>
      <c r="S1643">
        <v>0</v>
      </c>
      <c r="T1643">
        <v>0</v>
      </c>
      <c r="U1643">
        <v>6</v>
      </c>
      <c r="V1643">
        <v>0</v>
      </c>
      <c r="X1643">
        <v>31.3</v>
      </c>
    </row>
    <row r="1644" spans="1:24" ht="15">
      <c r="A1644">
        <v>1637</v>
      </c>
      <c r="B1644">
        <v>93746</v>
      </c>
      <c r="C1644" t="s">
        <v>1645</v>
      </c>
      <c r="D1644" t="s">
        <v>75</v>
      </c>
      <c r="E1644" t="s">
        <v>30</v>
      </c>
      <c r="F1644" t="str">
        <f>"00146404"</f>
        <v>00146404</v>
      </c>
      <c r="G1644">
        <v>15.25</v>
      </c>
      <c r="H1644">
        <v>0</v>
      </c>
      <c r="I1644">
        <v>0</v>
      </c>
      <c r="J1644">
        <v>0</v>
      </c>
      <c r="K1644">
        <v>0</v>
      </c>
      <c r="N1644">
        <v>3</v>
      </c>
      <c r="O1644">
        <v>3</v>
      </c>
      <c r="P1644">
        <v>4</v>
      </c>
      <c r="Q1644">
        <v>0</v>
      </c>
      <c r="R1644">
        <v>22.25</v>
      </c>
      <c r="S1644">
        <v>0</v>
      </c>
      <c r="T1644">
        <v>0</v>
      </c>
      <c r="U1644">
        <v>9</v>
      </c>
      <c r="V1644">
        <v>0</v>
      </c>
      <c r="X1644">
        <v>31.25</v>
      </c>
    </row>
    <row r="1645" spans="1:24" ht="15">
      <c r="A1645">
        <v>1638</v>
      </c>
      <c r="B1645">
        <v>2746</v>
      </c>
      <c r="C1645" t="s">
        <v>1646</v>
      </c>
      <c r="D1645" t="s">
        <v>122</v>
      </c>
      <c r="E1645" t="s">
        <v>27</v>
      </c>
      <c r="F1645" t="str">
        <f>"201405000927"</f>
        <v>201405000927</v>
      </c>
      <c r="G1645">
        <v>15.15</v>
      </c>
      <c r="H1645">
        <v>0</v>
      </c>
      <c r="I1645">
        <v>0</v>
      </c>
      <c r="J1645">
        <v>0</v>
      </c>
      <c r="K1645">
        <v>0</v>
      </c>
      <c r="N1645">
        <v>6</v>
      </c>
      <c r="O1645">
        <v>6</v>
      </c>
      <c r="P1645">
        <v>4</v>
      </c>
      <c r="Q1645">
        <v>0</v>
      </c>
      <c r="R1645">
        <v>25.15</v>
      </c>
      <c r="S1645">
        <v>0</v>
      </c>
      <c r="T1645">
        <v>0</v>
      </c>
      <c r="U1645">
        <v>6</v>
      </c>
      <c r="V1645">
        <v>0</v>
      </c>
      <c r="X1645">
        <v>31.15</v>
      </c>
    </row>
    <row r="1646" spans="1:24" ht="15">
      <c r="A1646">
        <v>1639</v>
      </c>
      <c r="B1646">
        <v>98250</v>
      </c>
      <c r="C1646" t="s">
        <v>1653</v>
      </c>
      <c r="D1646" t="s">
        <v>965</v>
      </c>
      <c r="E1646" t="s">
        <v>327</v>
      </c>
      <c r="F1646" t="str">
        <f>"00626112"</f>
        <v>00626112</v>
      </c>
      <c r="G1646">
        <v>20</v>
      </c>
      <c r="H1646">
        <v>0</v>
      </c>
      <c r="I1646">
        <v>0</v>
      </c>
      <c r="J1646">
        <v>0</v>
      </c>
      <c r="K1646">
        <v>0</v>
      </c>
      <c r="L1646">
        <v>7</v>
      </c>
      <c r="O1646">
        <v>7</v>
      </c>
      <c r="P1646">
        <v>4</v>
      </c>
      <c r="Q1646">
        <v>0</v>
      </c>
      <c r="R1646">
        <v>31</v>
      </c>
      <c r="S1646">
        <v>0</v>
      </c>
      <c r="T1646">
        <v>0</v>
      </c>
      <c r="U1646">
        <v>0</v>
      </c>
      <c r="V1646">
        <v>0</v>
      </c>
      <c r="X1646">
        <v>31</v>
      </c>
    </row>
    <row r="1647" spans="1:24" ht="15">
      <c r="A1647">
        <v>1640</v>
      </c>
      <c r="B1647">
        <v>28590</v>
      </c>
      <c r="C1647" t="s">
        <v>1657</v>
      </c>
      <c r="D1647" t="s">
        <v>12</v>
      </c>
      <c r="E1647" t="s">
        <v>1658</v>
      </c>
      <c r="F1647" t="str">
        <f>"00436236"</f>
        <v>00436236</v>
      </c>
      <c r="G1647">
        <v>17.93</v>
      </c>
      <c r="H1647">
        <v>0</v>
      </c>
      <c r="I1647">
        <v>0</v>
      </c>
      <c r="J1647">
        <v>0</v>
      </c>
      <c r="K1647">
        <v>0</v>
      </c>
      <c r="N1647">
        <v>6</v>
      </c>
      <c r="O1647">
        <v>6</v>
      </c>
      <c r="P1647">
        <v>4</v>
      </c>
      <c r="Q1647">
        <v>0</v>
      </c>
      <c r="R1647">
        <v>27.93</v>
      </c>
      <c r="S1647">
        <v>0</v>
      </c>
      <c r="T1647">
        <v>0</v>
      </c>
      <c r="U1647">
        <v>3</v>
      </c>
      <c r="V1647">
        <v>0</v>
      </c>
      <c r="X1647">
        <v>30.93</v>
      </c>
    </row>
    <row r="1648" spans="1:24" ht="15">
      <c r="A1648">
        <v>1641</v>
      </c>
      <c r="B1648">
        <v>82625</v>
      </c>
      <c r="C1648" t="s">
        <v>1662</v>
      </c>
      <c r="D1648" t="s">
        <v>390</v>
      </c>
      <c r="E1648" t="s">
        <v>360</v>
      </c>
      <c r="F1648" t="str">
        <f>"00644397"</f>
        <v>00644397</v>
      </c>
      <c r="G1648">
        <v>17.73</v>
      </c>
      <c r="H1648">
        <v>0</v>
      </c>
      <c r="I1648">
        <v>0</v>
      </c>
      <c r="J1648">
        <v>0</v>
      </c>
      <c r="K1648">
        <v>0</v>
      </c>
      <c r="L1648">
        <v>7</v>
      </c>
      <c r="O1648">
        <v>7</v>
      </c>
      <c r="P1648">
        <v>4</v>
      </c>
      <c r="Q1648">
        <v>2</v>
      </c>
      <c r="R1648">
        <v>30.73</v>
      </c>
      <c r="S1648">
        <v>0</v>
      </c>
      <c r="T1648">
        <v>0</v>
      </c>
      <c r="U1648">
        <v>0</v>
      </c>
      <c r="V1648">
        <v>0</v>
      </c>
      <c r="X1648">
        <v>30.73</v>
      </c>
    </row>
    <row r="1649" spans="1:24" ht="15">
      <c r="A1649">
        <v>1642</v>
      </c>
      <c r="B1649">
        <v>108158</v>
      </c>
      <c r="C1649" t="s">
        <v>1663</v>
      </c>
      <c r="D1649" t="s">
        <v>363</v>
      </c>
      <c r="E1649" t="s">
        <v>27</v>
      </c>
      <c r="F1649" t="str">
        <f>"00365850"</f>
        <v>00365850</v>
      </c>
      <c r="G1649">
        <v>16.73</v>
      </c>
      <c r="H1649">
        <v>7</v>
      </c>
      <c r="I1649">
        <v>0</v>
      </c>
      <c r="J1649">
        <v>0</v>
      </c>
      <c r="K1649">
        <v>0</v>
      </c>
      <c r="N1649">
        <v>3</v>
      </c>
      <c r="O1649">
        <v>3</v>
      </c>
      <c r="P1649">
        <v>4</v>
      </c>
      <c r="Q1649">
        <v>0</v>
      </c>
      <c r="R1649">
        <v>30.73</v>
      </c>
      <c r="S1649">
        <v>0</v>
      </c>
      <c r="T1649">
        <v>0</v>
      </c>
      <c r="U1649">
        <v>0</v>
      </c>
      <c r="V1649">
        <v>0</v>
      </c>
      <c r="X1649">
        <v>30.73</v>
      </c>
    </row>
    <row r="1650" spans="1:24" ht="15">
      <c r="A1650">
        <v>1643</v>
      </c>
      <c r="B1650">
        <v>59471</v>
      </c>
      <c r="C1650" t="s">
        <v>1662</v>
      </c>
      <c r="D1650" t="s">
        <v>1665</v>
      </c>
      <c r="E1650" t="s">
        <v>21</v>
      </c>
      <c r="F1650" t="str">
        <f>"00627616"</f>
        <v>00627616</v>
      </c>
      <c r="G1650">
        <v>16.65</v>
      </c>
      <c r="H1650">
        <v>0</v>
      </c>
      <c r="I1650">
        <v>0</v>
      </c>
      <c r="J1650">
        <v>0</v>
      </c>
      <c r="K1650">
        <v>0</v>
      </c>
      <c r="L1650">
        <v>7</v>
      </c>
      <c r="N1650">
        <v>3</v>
      </c>
      <c r="O1650">
        <v>10</v>
      </c>
      <c r="P1650">
        <v>4</v>
      </c>
      <c r="Q1650">
        <v>0</v>
      </c>
      <c r="R1650">
        <v>30.65</v>
      </c>
      <c r="S1650">
        <v>0</v>
      </c>
      <c r="T1650">
        <v>0</v>
      </c>
      <c r="U1650">
        <v>0</v>
      </c>
      <c r="V1650">
        <v>0</v>
      </c>
      <c r="X1650">
        <v>30.65</v>
      </c>
    </row>
    <row r="1651" spans="1:24" ht="15">
      <c r="A1651">
        <v>1644</v>
      </c>
      <c r="B1651">
        <v>22377</v>
      </c>
      <c r="C1651" t="s">
        <v>1667</v>
      </c>
      <c r="D1651" t="s">
        <v>186</v>
      </c>
      <c r="E1651" t="s">
        <v>12</v>
      </c>
      <c r="F1651" t="str">
        <f>"00223552"</f>
        <v>00223552</v>
      </c>
      <c r="G1651">
        <v>19.58</v>
      </c>
      <c r="H1651">
        <v>0</v>
      </c>
      <c r="I1651">
        <v>0</v>
      </c>
      <c r="J1651">
        <v>0</v>
      </c>
      <c r="K1651">
        <v>0</v>
      </c>
      <c r="L1651">
        <v>7</v>
      </c>
      <c r="O1651">
        <v>7</v>
      </c>
      <c r="P1651">
        <v>4</v>
      </c>
      <c r="Q1651">
        <v>0</v>
      </c>
      <c r="R1651">
        <v>30.58</v>
      </c>
      <c r="S1651">
        <v>0</v>
      </c>
      <c r="T1651">
        <v>0</v>
      </c>
      <c r="U1651">
        <v>0</v>
      </c>
      <c r="V1651">
        <v>0</v>
      </c>
      <c r="X1651">
        <v>30.58</v>
      </c>
    </row>
    <row r="1652" spans="1:24" ht="15">
      <c r="A1652">
        <v>1645</v>
      </c>
      <c r="B1652">
        <v>24680</v>
      </c>
      <c r="C1652" t="s">
        <v>1668</v>
      </c>
      <c r="D1652" t="s">
        <v>122</v>
      </c>
      <c r="E1652" t="s">
        <v>21</v>
      </c>
      <c r="F1652" t="str">
        <f>"00454393"</f>
        <v>00454393</v>
      </c>
      <c r="G1652">
        <v>18.55</v>
      </c>
      <c r="H1652">
        <v>0</v>
      </c>
      <c r="I1652">
        <v>0</v>
      </c>
      <c r="J1652">
        <v>0</v>
      </c>
      <c r="K1652">
        <v>0</v>
      </c>
      <c r="M1652">
        <v>5</v>
      </c>
      <c r="N1652">
        <v>3</v>
      </c>
      <c r="O1652">
        <v>8</v>
      </c>
      <c r="P1652">
        <v>4</v>
      </c>
      <c r="Q1652">
        <v>0</v>
      </c>
      <c r="R1652">
        <v>30.55</v>
      </c>
      <c r="S1652">
        <v>0</v>
      </c>
      <c r="T1652">
        <v>0</v>
      </c>
      <c r="U1652">
        <v>0</v>
      </c>
      <c r="V1652">
        <v>0</v>
      </c>
      <c r="X1652">
        <v>30.55</v>
      </c>
    </row>
    <row r="1653" spans="1:24" ht="15">
      <c r="A1653">
        <v>1646</v>
      </c>
      <c r="B1653">
        <v>94959</v>
      </c>
      <c r="C1653" t="s">
        <v>1671</v>
      </c>
      <c r="D1653" t="s">
        <v>23</v>
      </c>
      <c r="E1653" t="s">
        <v>21</v>
      </c>
      <c r="F1653" t="str">
        <f>"00010254"</f>
        <v>00010254</v>
      </c>
      <c r="G1653">
        <v>16.53</v>
      </c>
      <c r="H1653">
        <v>0</v>
      </c>
      <c r="I1653">
        <v>0</v>
      </c>
      <c r="J1653">
        <v>0</v>
      </c>
      <c r="K1653">
        <v>0</v>
      </c>
      <c r="L1653">
        <v>7</v>
      </c>
      <c r="O1653">
        <v>7</v>
      </c>
      <c r="P1653">
        <v>4</v>
      </c>
      <c r="Q1653">
        <v>0</v>
      </c>
      <c r="R1653">
        <v>27.53</v>
      </c>
      <c r="S1653">
        <v>0</v>
      </c>
      <c r="T1653">
        <v>0</v>
      </c>
      <c r="U1653">
        <v>3</v>
      </c>
      <c r="V1653">
        <v>0</v>
      </c>
      <c r="X1653">
        <v>30.53</v>
      </c>
    </row>
    <row r="1654" spans="1:24" ht="15">
      <c r="A1654">
        <v>1647</v>
      </c>
      <c r="B1654">
        <v>93168</v>
      </c>
      <c r="C1654" t="s">
        <v>1672</v>
      </c>
      <c r="D1654" t="s">
        <v>29</v>
      </c>
      <c r="E1654" t="s">
        <v>23</v>
      </c>
      <c r="F1654" t="str">
        <f>"00457088"</f>
        <v>00457088</v>
      </c>
      <c r="G1654">
        <v>17.5</v>
      </c>
      <c r="H1654">
        <v>0</v>
      </c>
      <c r="I1654">
        <v>0</v>
      </c>
      <c r="J1654">
        <v>0</v>
      </c>
      <c r="K1654">
        <v>0</v>
      </c>
      <c r="N1654">
        <v>3</v>
      </c>
      <c r="O1654">
        <v>3</v>
      </c>
      <c r="P1654">
        <v>4</v>
      </c>
      <c r="Q1654">
        <v>0</v>
      </c>
      <c r="R1654">
        <v>24.5</v>
      </c>
      <c r="S1654">
        <v>0</v>
      </c>
      <c r="T1654">
        <v>0</v>
      </c>
      <c r="U1654">
        <v>6</v>
      </c>
      <c r="V1654">
        <v>0</v>
      </c>
      <c r="X1654">
        <v>30.5</v>
      </c>
    </row>
    <row r="1655" spans="1:24" ht="15">
      <c r="A1655">
        <v>1648</v>
      </c>
      <c r="B1655">
        <v>75313</v>
      </c>
      <c r="C1655" t="s">
        <v>1673</v>
      </c>
      <c r="D1655" t="s">
        <v>1568</v>
      </c>
      <c r="E1655" t="s">
        <v>124</v>
      </c>
      <c r="F1655" t="str">
        <f>"00473910"</f>
        <v>00473910</v>
      </c>
      <c r="G1655">
        <v>20.45</v>
      </c>
      <c r="H1655">
        <v>0</v>
      </c>
      <c r="I1655">
        <v>0</v>
      </c>
      <c r="J1655">
        <v>0</v>
      </c>
      <c r="K1655">
        <v>0</v>
      </c>
      <c r="L1655">
        <v>7</v>
      </c>
      <c r="O1655">
        <v>7</v>
      </c>
      <c r="P1655">
        <v>0</v>
      </c>
      <c r="Q1655">
        <v>0</v>
      </c>
      <c r="R1655">
        <v>27.45</v>
      </c>
      <c r="S1655">
        <v>0</v>
      </c>
      <c r="T1655">
        <v>0</v>
      </c>
      <c r="U1655">
        <v>3</v>
      </c>
      <c r="V1655">
        <v>0</v>
      </c>
      <c r="X1655">
        <v>30.45</v>
      </c>
    </row>
    <row r="1656" spans="1:24" ht="15">
      <c r="A1656">
        <v>1649</v>
      </c>
      <c r="B1656">
        <v>87225</v>
      </c>
      <c r="C1656" t="s">
        <v>1678</v>
      </c>
      <c r="D1656" t="s">
        <v>1279</v>
      </c>
      <c r="E1656" t="s">
        <v>24</v>
      </c>
      <c r="F1656" t="str">
        <f>"00471611"</f>
        <v>00471611</v>
      </c>
      <c r="G1656">
        <v>20.33</v>
      </c>
      <c r="H1656">
        <v>0</v>
      </c>
      <c r="I1656">
        <v>0</v>
      </c>
      <c r="J1656">
        <v>0</v>
      </c>
      <c r="K1656">
        <v>0</v>
      </c>
      <c r="L1656">
        <v>7</v>
      </c>
      <c r="N1656">
        <v>3</v>
      </c>
      <c r="O1656">
        <v>10</v>
      </c>
      <c r="P1656">
        <v>0</v>
      </c>
      <c r="Q1656">
        <v>0</v>
      </c>
      <c r="R1656">
        <v>30.33</v>
      </c>
      <c r="S1656">
        <v>0</v>
      </c>
      <c r="T1656">
        <v>0</v>
      </c>
      <c r="U1656">
        <v>0</v>
      </c>
      <c r="V1656">
        <v>0</v>
      </c>
      <c r="X1656">
        <v>30.33</v>
      </c>
    </row>
    <row r="1657" spans="1:24" ht="15">
      <c r="A1657">
        <v>1650</v>
      </c>
      <c r="B1657">
        <v>79166</v>
      </c>
      <c r="C1657" t="s">
        <v>1680</v>
      </c>
      <c r="D1657" t="s">
        <v>1681</v>
      </c>
      <c r="E1657" t="s">
        <v>30</v>
      </c>
      <c r="F1657" t="str">
        <f>"00355037"</f>
        <v>00355037</v>
      </c>
      <c r="G1657">
        <v>17.23</v>
      </c>
      <c r="H1657">
        <v>0</v>
      </c>
      <c r="I1657">
        <v>0</v>
      </c>
      <c r="J1657">
        <v>0</v>
      </c>
      <c r="K1657">
        <v>0</v>
      </c>
      <c r="N1657">
        <v>3</v>
      </c>
      <c r="O1657">
        <v>3</v>
      </c>
      <c r="P1657">
        <v>4</v>
      </c>
      <c r="Q1657">
        <v>0</v>
      </c>
      <c r="R1657">
        <v>24.23</v>
      </c>
      <c r="S1657">
        <v>0</v>
      </c>
      <c r="T1657">
        <v>0</v>
      </c>
      <c r="U1657">
        <v>6</v>
      </c>
      <c r="V1657">
        <v>0</v>
      </c>
      <c r="X1657">
        <v>30.23</v>
      </c>
    </row>
    <row r="1658" spans="1:24" ht="15">
      <c r="A1658">
        <v>1651</v>
      </c>
      <c r="B1658">
        <v>69592</v>
      </c>
      <c r="C1658" t="s">
        <v>1683</v>
      </c>
      <c r="D1658" t="s">
        <v>1504</v>
      </c>
      <c r="E1658" t="s">
        <v>201</v>
      </c>
      <c r="F1658" t="str">
        <f>"00620370"</f>
        <v>00620370</v>
      </c>
      <c r="G1658">
        <v>19.18</v>
      </c>
      <c r="H1658">
        <v>0</v>
      </c>
      <c r="I1658">
        <v>0</v>
      </c>
      <c r="J1658">
        <v>0</v>
      </c>
      <c r="K1658">
        <v>0</v>
      </c>
      <c r="L1658">
        <v>7</v>
      </c>
      <c r="O1658">
        <v>7</v>
      </c>
      <c r="P1658">
        <v>4</v>
      </c>
      <c r="Q1658">
        <v>0</v>
      </c>
      <c r="R1658">
        <v>30.18</v>
      </c>
      <c r="S1658">
        <v>0</v>
      </c>
      <c r="T1658">
        <v>0</v>
      </c>
      <c r="U1658">
        <v>0</v>
      </c>
      <c r="V1658">
        <v>0</v>
      </c>
      <c r="X1658">
        <v>30.18</v>
      </c>
    </row>
    <row r="1659" spans="1:24" ht="15">
      <c r="A1659">
        <v>1652</v>
      </c>
      <c r="B1659">
        <v>86015</v>
      </c>
      <c r="C1659" t="s">
        <v>1473</v>
      </c>
      <c r="D1659" t="s">
        <v>72</v>
      </c>
      <c r="E1659" t="s">
        <v>80</v>
      </c>
      <c r="F1659" t="str">
        <f>"20160705447"</f>
        <v>20160705447</v>
      </c>
      <c r="G1659">
        <v>15.13</v>
      </c>
      <c r="H1659">
        <v>0</v>
      </c>
      <c r="I1659">
        <v>0</v>
      </c>
      <c r="J1659">
        <v>0</v>
      </c>
      <c r="K1659">
        <v>0</v>
      </c>
      <c r="M1659">
        <v>5</v>
      </c>
      <c r="O1659">
        <v>5</v>
      </c>
      <c r="P1659">
        <v>4</v>
      </c>
      <c r="Q1659">
        <v>0</v>
      </c>
      <c r="R1659">
        <v>24.13</v>
      </c>
      <c r="S1659">
        <v>0</v>
      </c>
      <c r="T1659">
        <v>0</v>
      </c>
      <c r="U1659">
        <v>6</v>
      </c>
      <c r="V1659">
        <v>0</v>
      </c>
      <c r="X1659">
        <v>30.13</v>
      </c>
    </row>
    <row r="1660" spans="1:24" ht="15">
      <c r="A1660">
        <v>1653</v>
      </c>
      <c r="B1660">
        <v>91457</v>
      </c>
      <c r="C1660" t="s">
        <v>1417</v>
      </c>
      <c r="D1660" t="s">
        <v>252</v>
      </c>
      <c r="E1660" t="s">
        <v>12</v>
      </c>
      <c r="F1660" t="str">
        <f>"00503467"</f>
        <v>00503467</v>
      </c>
      <c r="G1660">
        <v>16.03</v>
      </c>
      <c r="H1660">
        <v>0</v>
      </c>
      <c r="I1660">
        <v>0</v>
      </c>
      <c r="J1660">
        <v>0</v>
      </c>
      <c r="K1660">
        <v>0</v>
      </c>
      <c r="L1660">
        <v>7</v>
      </c>
      <c r="N1660">
        <v>3</v>
      </c>
      <c r="O1660">
        <v>10</v>
      </c>
      <c r="P1660">
        <v>4</v>
      </c>
      <c r="Q1660">
        <v>0</v>
      </c>
      <c r="R1660">
        <v>30.03</v>
      </c>
      <c r="S1660">
        <v>0</v>
      </c>
      <c r="T1660">
        <v>0</v>
      </c>
      <c r="U1660">
        <v>0</v>
      </c>
      <c r="V1660">
        <v>0</v>
      </c>
      <c r="X1660">
        <v>30.03</v>
      </c>
    </row>
    <row r="1661" spans="1:24" ht="15">
      <c r="A1661">
        <v>1654</v>
      </c>
      <c r="B1661">
        <v>92146</v>
      </c>
      <c r="C1661" t="s">
        <v>1457</v>
      </c>
      <c r="D1661" t="s">
        <v>93</v>
      </c>
      <c r="E1661" t="s">
        <v>91</v>
      </c>
      <c r="F1661" t="str">
        <f>"00636687"</f>
        <v>00636687</v>
      </c>
      <c r="G1661">
        <v>19.98</v>
      </c>
      <c r="H1661">
        <v>0</v>
      </c>
      <c r="I1661">
        <v>0</v>
      </c>
      <c r="J1661">
        <v>0</v>
      </c>
      <c r="K1661">
        <v>0</v>
      </c>
      <c r="L1661">
        <v>7</v>
      </c>
      <c r="O1661">
        <v>7</v>
      </c>
      <c r="P1661">
        <v>0</v>
      </c>
      <c r="Q1661">
        <v>0</v>
      </c>
      <c r="R1661">
        <v>26.98</v>
      </c>
      <c r="S1661">
        <v>0</v>
      </c>
      <c r="T1661">
        <v>0</v>
      </c>
      <c r="U1661">
        <v>3</v>
      </c>
      <c r="V1661">
        <v>0</v>
      </c>
      <c r="X1661">
        <v>29.98</v>
      </c>
    </row>
    <row r="1662" spans="1:24" ht="15">
      <c r="A1662">
        <v>1655</v>
      </c>
      <c r="B1662">
        <v>78712</v>
      </c>
      <c r="C1662" t="s">
        <v>376</v>
      </c>
      <c r="D1662" t="s">
        <v>1693</v>
      </c>
      <c r="E1662" t="s">
        <v>27</v>
      </c>
      <c r="F1662" t="str">
        <f>"00310691"</f>
        <v>00310691</v>
      </c>
      <c r="G1662">
        <v>18.9</v>
      </c>
      <c r="H1662">
        <v>0</v>
      </c>
      <c r="I1662">
        <v>0</v>
      </c>
      <c r="J1662">
        <v>0</v>
      </c>
      <c r="K1662">
        <v>0</v>
      </c>
      <c r="L1662">
        <v>7</v>
      </c>
      <c r="O1662">
        <v>7</v>
      </c>
      <c r="P1662">
        <v>4</v>
      </c>
      <c r="Q1662">
        <v>0</v>
      </c>
      <c r="R1662">
        <v>29.9</v>
      </c>
      <c r="S1662">
        <v>0</v>
      </c>
      <c r="T1662">
        <v>0</v>
      </c>
      <c r="U1662">
        <v>0</v>
      </c>
      <c r="V1662">
        <v>0</v>
      </c>
      <c r="X1662">
        <v>29.9</v>
      </c>
    </row>
    <row r="1663" spans="1:24" ht="15">
      <c r="A1663">
        <v>1656</v>
      </c>
      <c r="B1663">
        <v>111293</v>
      </c>
      <c r="C1663" t="s">
        <v>1696</v>
      </c>
      <c r="D1663" t="s">
        <v>201</v>
      </c>
      <c r="E1663" t="s">
        <v>27</v>
      </c>
      <c r="F1663" t="str">
        <f>"201412007222"</f>
        <v>201412007222</v>
      </c>
      <c r="G1663">
        <v>16.85</v>
      </c>
      <c r="H1663">
        <v>0</v>
      </c>
      <c r="I1663">
        <v>0</v>
      </c>
      <c r="J1663">
        <v>0</v>
      </c>
      <c r="K1663">
        <v>0</v>
      </c>
      <c r="N1663">
        <v>3</v>
      </c>
      <c r="O1663">
        <v>3</v>
      </c>
      <c r="P1663">
        <v>4</v>
      </c>
      <c r="Q1663">
        <v>0</v>
      </c>
      <c r="R1663">
        <v>23.85</v>
      </c>
      <c r="S1663">
        <v>0</v>
      </c>
      <c r="T1663">
        <v>0</v>
      </c>
      <c r="U1663">
        <v>6</v>
      </c>
      <c r="V1663">
        <v>0</v>
      </c>
      <c r="X1663">
        <v>29.85</v>
      </c>
    </row>
    <row r="1664" spans="1:24" ht="15">
      <c r="A1664">
        <v>1657</v>
      </c>
      <c r="B1664">
        <v>112785</v>
      </c>
      <c r="C1664" t="s">
        <v>36</v>
      </c>
      <c r="D1664" t="s">
        <v>80</v>
      </c>
      <c r="E1664" t="s">
        <v>113</v>
      </c>
      <c r="F1664" t="str">
        <f>"00637888"</f>
        <v>00637888</v>
      </c>
      <c r="G1664">
        <v>22.8</v>
      </c>
      <c r="H1664">
        <v>0</v>
      </c>
      <c r="I1664">
        <v>0</v>
      </c>
      <c r="J1664">
        <v>0</v>
      </c>
      <c r="K1664">
        <v>0</v>
      </c>
      <c r="N1664">
        <v>3</v>
      </c>
      <c r="O1664">
        <v>3</v>
      </c>
      <c r="P1664">
        <v>4</v>
      </c>
      <c r="Q1664">
        <v>0</v>
      </c>
      <c r="R1664">
        <v>29.8</v>
      </c>
      <c r="S1664">
        <v>0</v>
      </c>
      <c r="T1664">
        <v>0</v>
      </c>
      <c r="U1664">
        <v>0</v>
      </c>
      <c r="V1664">
        <v>0</v>
      </c>
      <c r="X1664">
        <v>29.8</v>
      </c>
    </row>
    <row r="1665" spans="1:24" ht="15">
      <c r="A1665">
        <v>1658</v>
      </c>
      <c r="B1665">
        <v>48693</v>
      </c>
      <c r="C1665" t="s">
        <v>1700</v>
      </c>
      <c r="D1665" t="s">
        <v>1701</v>
      </c>
      <c r="E1665" t="s">
        <v>20</v>
      </c>
      <c r="F1665" t="str">
        <f>"00027247"</f>
        <v>00027247</v>
      </c>
      <c r="G1665">
        <v>16.78</v>
      </c>
      <c r="H1665">
        <v>0</v>
      </c>
      <c r="I1665">
        <v>0</v>
      </c>
      <c r="J1665">
        <v>0</v>
      </c>
      <c r="K1665">
        <v>0</v>
      </c>
      <c r="N1665">
        <v>3</v>
      </c>
      <c r="O1665">
        <v>3</v>
      </c>
      <c r="P1665">
        <v>4</v>
      </c>
      <c r="Q1665">
        <v>0</v>
      </c>
      <c r="R1665">
        <v>23.78</v>
      </c>
      <c r="S1665">
        <v>0</v>
      </c>
      <c r="T1665">
        <v>0</v>
      </c>
      <c r="U1665">
        <v>6</v>
      </c>
      <c r="V1665">
        <v>0</v>
      </c>
      <c r="X1665">
        <v>29.78</v>
      </c>
    </row>
    <row r="1666" spans="1:24" ht="15">
      <c r="A1666">
        <v>1659</v>
      </c>
      <c r="B1666">
        <v>70066</v>
      </c>
      <c r="C1666" t="s">
        <v>1702</v>
      </c>
      <c r="D1666" t="s">
        <v>442</v>
      </c>
      <c r="E1666" t="s">
        <v>21</v>
      </c>
      <c r="F1666" t="str">
        <f>"00018256"</f>
        <v>00018256</v>
      </c>
      <c r="G1666">
        <v>16.75</v>
      </c>
      <c r="H1666">
        <v>0</v>
      </c>
      <c r="I1666">
        <v>0</v>
      </c>
      <c r="J1666">
        <v>0</v>
      </c>
      <c r="K1666">
        <v>0</v>
      </c>
      <c r="O1666">
        <v>0</v>
      </c>
      <c r="P1666">
        <v>4</v>
      </c>
      <c r="Q1666">
        <v>0</v>
      </c>
      <c r="R1666">
        <v>20.75</v>
      </c>
      <c r="S1666">
        <v>0</v>
      </c>
      <c r="T1666">
        <v>0</v>
      </c>
      <c r="U1666">
        <v>9</v>
      </c>
      <c r="V1666">
        <v>0</v>
      </c>
      <c r="X1666">
        <v>29.75</v>
      </c>
    </row>
    <row r="1667" spans="1:24" ht="15">
      <c r="A1667">
        <v>1660</v>
      </c>
      <c r="B1667">
        <v>11127</v>
      </c>
      <c r="C1667" t="s">
        <v>1703</v>
      </c>
      <c r="D1667" t="s">
        <v>1704</v>
      </c>
      <c r="E1667" t="s">
        <v>12</v>
      </c>
      <c r="F1667" t="str">
        <f>"00259529"</f>
        <v>00259529</v>
      </c>
      <c r="G1667">
        <v>16.75</v>
      </c>
      <c r="H1667">
        <v>0</v>
      </c>
      <c r="I1667">
        <v>0</v>
      </c>
      <c r="J1667">
        <v>0</v>
      </c>
      <c r="K1667">
        <v>0</v>
      </c>
      <c r="N1667">
        <v>3</v>
      </c>
      <c r="O1667">
        <v>3</v>
      </c>
      <c r="P1667">
        <v>4</v>
      </c>
      <c r="Q1667">
        <v>0</v>
      </c>
      <c r="R1667">
        <v>23.75</v>
      </c>
      <c r="S1667">
        <v>0</v>
      </c>
      <c r="T1667">
        <v>0</v>
      </c>
      <c r="U1667">
        <v>6</v>
      </c>
      <c r="V1667">
        <v>0</v>
      </c>
      <c r="X1667">
        <v>29.75</v>
      </c>
    </row>
    <row r="1668" spans="1:24" ht="15">
      <c r="A1668">
        <v>1661</v>
      </c>
      <c r="B1668">
        <v>55379</v>
      </c>
      <c r="C1668" t="s">
        <v>1705</v>
      </c>
      <c r="D1668" t="s">
        <v>288</v>
      </c>
      <c r="E1668" t="s">
        <v>27</v>
      </c>
      <c r="F1668" t="str">
        <f>"00330966"</f>
        <v>00330966</v>
      </c>
      <c r="G1668">
        <v>15.75</v>
      </c>
      <c r="H1668">
        <v>0</v>
      </c>
      <c r="I1668">
        <v>0</v>
      </c>
      <c r="J1668">
        <v>0</v>
      </c>
      <c r="K1668">
        <v>0</v>
      </c>
      <c r="L1668">
        <v>7</v>
      </c>
      <c r="O1668">
        <v>7</v>
      </c>
      <c r="P1668">
        <v>4</v>
      </c>
      <c r="Q1668">
        <v>0</v>
      </c>
      <c r="R1668">
        <v>26.75</v>
      </c>
      <c r="S1668">
        <v>0</v>
      </c>
      <c r="T1668">
        <v>0</v>
      </c>
      <c r="U1668">
        <v>3</v>
      </c>
      <c r="V1668">
        <v>0</v>
      </c>
      <c r="X1668">
        <v>29.75</v>
      </c>
    </row>
    <row r="1669" spans="1:24" ht="15">
      <c r="A1669">
        <v>1662</v>
      </c>
      <c r="B1669">
        <v>47506</v>
      </c>
      <c r="C1669" t="s">
        <v>1706</v>
      </c>
      <c r="D1669" t="s">
        <v>288</v>
      </c>
      <c r="E1669" t="s">
        <v>27</v>
      </c>
      <c r="F1669" t="str">
        <f>"200802004885"</f>
        <v>200802004885</v>
      </c>
      <c r="G1669">
        <v>16.73</v>
      </c>
      <c r="H1669">
        <v>0</v>
      </c>
      <c r="I1669">
        <v>0</v>
      </c>
      <c r="J1669">
        <v>0</v>
      </c>
      <c r="K1669">
        <v>0</v>
      </c>
      <c r="N1669">
        <v>3</v>
      </c>
      <c r="O1669">
        <v>3</v>
      </c>
      <c r="P1669">
        <v>4</v>
      </c>
      <c r="Q1669">
        <v>0</v>
      </c>
      <c r="R1669">
        <v>23.73</v>
      </c>
      <c r="S1669">
        <v>0</v>
      </c>
      <c r="T1669">
        <v>0</v>
      </c>
      <c r="U1669">
        <v>6</v>
      </c>
      <c r="V1669">
        <v>0</v>
      </c>
      <c r="X1669">
        <v>29.73</v>
      </c>
    </row>
    <row r="1670" spans="1:24" ht="15">
      <c r="A1670">
        <v>1663</v>
      </c>
      <c r="B1670">
        <v>32263</v>
      </c>
      <c r="C1670" t="s">
        <v>1707</v>
      </c>
      <c r="D1670" t="s">
        <v>90</v>
      </c>
      <c r="E1670" t="s">
        <v>155</v>
      </c>
      <c r="F1670" t="str">
        <f>"00562209"</f>
        <v>00562209</v>
      </c>
      <c r="G1670">
        <v>16.7</v>
      </c>
      <c r="H1670">
        <v>0</v>
      </c>
      <c r="I1670">
        <v>0</v>
      </c>
      <c r="J1670">
        <v>0</v>
      </c>
      <c r="K1670">
        <v>0</v>
      </c>
      <c r="N1670">
        <v>3</v>
      </c>
      <c r="O1670">
        <v>3</v>
      </c>
      <c r="P1670">
        <v>4</v>
      </c>
      <c r="Q1670">
        <v>0</v>
      </c>
      <c r="R1670">
        <v>23.7</v>
      </c>
      <c r="S1670">
        <v>0</v>
      </c>
      <c r="T1670">
        <v>0</v>
      </c>
      <c r="U1670">
        <v>6</v>
      </c>
      <c r="V1670">
        <v>0</v>
      </c>
      <c r="X1670">
        <v>29.7</v>
      </c>
    </row>
    <row r="1671" spans="1:24" ht="15">
      <c r="A1671">
        <v>1664</v>
      </c>
      <c r="B1671">
        <v>70559</v>
      </c>
      <c r="C1671" t="s">
        <v>1712</v>
      </c>
      <c r="D1671" t="s">
        <v>168</v>
      </c>
      <c r="E1671" t="s">
        <v>17</v>
      </c>
      <c r="F1671" t="str">
        <f>"00609863"</f>
        <v>00609863</v>
      </c>
      <c r="G1671">
        <v>18.68</v>
      </c>
      <c r="H1671">
        <v>0</v>
      </c>
      <c r="I1671">
        <v>0</v>
      </c>
      <c r="J1671">
        <v>0</v>
      </c>
      <c r="K1671">
        <v>0</v>
      </c>
      <c r="L1671">
        <v>7</v>
      </c>
      <c r="O1671">
        <v>7</v>
      </c>
      <c r="P1671">
        <v>4</v>
      </c>
      <c r="Q1671">
        <v>0</v>
      </c>
      <c r="R1671">
        <v>29.68</v>
      </c>
      <c r="S1671">
        <v>0</v>
      </c>
      <c r="T1671">
        <v>0</v>
      </c>
      <c r="U1671">
        <v>0</v>
      </c>
      <c r="V1671">
        <v>0</v>
      </c>
      <c r="X1671">
        <v>29.68</v>
      </c>
    </row>
    <row r="1672" spans="1:24" ht="15">
      <c r="A1672">
        <v>1665</v>
      </c>
      <c r="B1672">
        <v>88328</v>
      </c>
      <c r="C1672" t="s">
        <v>1714</v>
      </c>
      <c r="D1672" t="s">
        <v>20</v>
      </c>
      <c r="E1672" t="s">
        <v>109</v>
      </c>
      <c r="F1672" t="str">
        <f>"00623421"</f>
        <v>00623421</v>
      </c>
      <c r="G1672">
        <v>17.6</v>
      </c>
      <c r="H1672">
        <v>0</v>
      </c>
      <c r="I1672">
        <v>0</v>
      </c>
      <c r="J1672">
        <v>0</v>
      </c>
      <c r="K1672">
        <v>0</v>
      </c>
      <c r="O1672">
        <v>0</v>
      </c>
      <c r="P1672">
        <v>0</v>
      </c>
      <c r="Q1672">
        <v>0</v>
      </c>
      <c r="R1672">
        <v>17.6</v>
      </c>
      <c r="S1672">
        <v>0</v>
      </c>
      <c r="T1672">
        <v>0</v>
      </c>
      <c r="U1672">
        <v>12</v>
      </c>
      <c r="V1672">
        <v>0</v>
      </c>
      <c r="X1672">
        <v>29.6</v>
      </c>
    </row>
    <row r="1673" spans="1:24" ht="15">
      <c r="A1673">
        <v>1666</v>
      </c>
      <c r="B1673">
        <v>10894</v>
      </c>
      <c r="C1673" t="s">
        <v>1715</v>
      </c>
      <c r="D1673" t="s">
        <v>1716</v>
      </c>
      <c r="E1673" t="s">
        <v>486</v>
      </c>
      <c r="F1673" t="str">
        <f>"00160341"</f>
        <v>00160341</v>
      </c>
      <c r="G1673">
        <v>16.6</v>
      </c>
      <c r="H1673">
        <v>0</v>
      </c>
      <c r="I1673">
        <v>0</v>
      </c>
      <c r="J1673">
        <v>0</v>
      </c>
      <c r="K1673">
        <v>0</v>
      </c>
      <c r="N1673">
        <v>3</v>
      </c>
      <c r="O1673">
        <v>3</v>
      </c>
      <c r="P1673">
        <v>4</v>
      </c>
      <c r="Q1673">
        <v>0</v>
      </c>
      <c r="R1673">
        <v>23.6</v>
      </c>
      <c r="S1673">
        <v>0</v>
      </c>
      <c r="T1673">
        <v>0</v>
      </c>
      <c r="U1673">
        <v>6</v>
      </c>
      <c r="V1673">
        <v>0</v>
      </c>
      <c r="X1673">
        <v>29.6</v>
      </c>
    </row>
    <row r="1674" spans="1:24" ht="15">
      <c r="A1674">
        <v>1667</v>
      </c>
      <c r="B1674">
        <v>62347</v>
      </c>
      <c r="C1674" t="s">
        <v>1717</v>
      </c>
      <c r="D1674" t="s">
        <v>962</v>
      </c>
      <c r="E1674" t="s">
        <v>1718</v>
      </c>
      <c r="F1674" t="str">
        <f>"00621492"</f>
        <v>00621492</v>
      </c>
      <c r="G1674">
        <v>18.6</v>
      </c>
      <c r="H1674">
        <v>0</v>
      </c>
      <c r="I1674">
        <v>0</v>
      </c>
      <c r="J1674">
        <v>0</v>
      </c>
      <c r="K1674">
        <v>0</v>
      </c>
      <c r="L1674">
        <v>7</v>
      </c>
      <c r="O1674">
        <v>7</v>
      </c>
      <c r="P1674">
        <v>4</v>
      </c>
      <c r="Q1674">
        <v>0</v>
      </c>
      <c r="R1674">
        <v>29.6</v>
      </c>
      <c r="S1674">
        <v>0</v>
      </c>
      <c r="T1674">
        <v>0</v>
      </c>
      <c r="U1674">
        <v>0</v>
      </c>
      <c r="V1674">
        <v>0</v>
      </c>
      <c r="X1674">
        <v>29.6</v>
      </c>
    </row>
    <row r="1675" spans="1:24" ht="15">
      <c r="A1675">
        <v>1668</v>
      </c>
      <c r="B1675">
        <v>41780</v>
      </c>
      <c r="C1675" t="s">
        <v>1722</v>
      </c>
      <c r="D1675" t="s">
        <v>370</v>
      </c>
      <c r="E1675" t="s">
        <v>27</v>
      </c>
      <c r="F1675" t="str">
        <f>"00613964"</f>
        <v>00613964</v>
      </c>
      <c r="G1675">
        <v>16.5</v>
      </c>
      <c r="H1675">
        <v>0</v>
      </c>
      <c r="I1675">
        <v>0</v>
      </c>
      <c r="J1675">
        <v>0</v>
      </c>
      <c r="K1675">
        <v>0</v>
      </c>
      <c r="N1675">
        <v>3</v>
      </c>
      <c r="O1675">
        <v>3</v>
      </c>
      <c r="P1675">
        <v>4</v>
      </c>
      <c r="Q1675">
        <v>0</v>
      </c>
      <c r="R1675">
        <v>23.5</v>
      </c>
      <c r="S1675">
        <v>0</v>
      </c>
      <c r="T1675">
        <v>0</v>
      </c>
      <c r="U1675">
        <v>6</v>
      </c>
      <c r="V1675">
        <v>0</v>
      </c>
      <c r="X1675">
        <v>29.5</v>
      </c>
    </row>
    <row r="1676" spans="1:24" ht="15">
      <c r="A1676">
        <v>1669</v>
      </c>
      <c r="B1676">
        <v>81227</v>
      </c>
      <c r="C1676" t="s">
        <v>181</v>
      </c>
      <c r="D1676" t="s">
        <v>46</v>
      </c>
      <c r="E1676" t="s">
        <v>20</v>
      </c>
      <c r="F1676" t="str">
        <f>"200802004429"</f>
        <v>200802004429</v>
      </c>
      <c r="G1676">
        <v>16.5</v>
      </c>
      <c r="H1676">
        <v>0</v>
      </c>
      <c r="I1676">
        <v>0</v>
      </c>
      <c r="J1676">
        <v>0</v>
      </c>
      <c r="K1676">
        <v>0</v>
      </c>
      <c r="N1676">
        <v>3</v>
      </c>
      <c r="O1676">
        <v>3</v>
      </c>
      <c r="P1676">
        <v>4</v>
      </c>
      <c r="Q1676">
        <v>0</v>
      </c>
      <c r="R1676">
        <v>23.5</v>
      </c>
      <c r="S1676">
        <v>0</v>
      </c>
      <c r="T1676">
        <v>0</v>
      </c>
      <c r="U1676">
        <v>6</v>
      </c>
      <c r="V1676">
        <v>0</v>
      </c>
      <c r="X1676">
        <v>29.5</v>
      </c>
    </row>
    <row r="1677" spans="1:24" ht="15">
      <c r="A1677">
        <v>1670</v>
      </c>
      <c r="B1677">
        <v>83855</v>
      </c>
      <c r="C1677" t="s">
        <v>1723</v>
      </c>
      <c r="D1677" t="s">
        <v>674</v>
      </c>
      <c r="E1677" t="s">
        <v>135</v>
      </c>
      <c r="F1677" t="str">
        <f>"00630108"</f>
        <v>00630108</v>
      </c>
      <c r="G1677">
        <v>12.5</v>
      </c>
      <c r="H1677">
        <v>0</v>
      </c>
      <c r="I1677">
        <v>0</v>
      </c>
      <c r="J1677">
        <v>0</v>
      </c>
      <c r="K1677">
        <v>0</v>
      </c>
      <c r="L1677">
        <v>7</v>
      </c>
      <c r="O1677">
        <v>7</v>
      </c>
      <c r="P1677">
        <v>4</v>
      </c>
      <c r="Q1677">
        <v>0</v>
      </c>
      <c r="R1677">
        <v>23.5</v>
      </c>
      <c r="S1677">
        <v>0</v>
      </c>
      <c r="T1677">
        <v>0</v>
      </c>
      <c r="U1677">
        <v>6</v>
      </c>
      <c r="V1677">
        <v>0</v>
      </c>
      <c r="X1677">
        <v>29.5</v>
      </c>
    </row>
    <row r="1678" spans="1:24" ht="15">
      <c r="A1678">
        <v>1671</v>
      </c>
      <c r="B1678">
        <v>10331</v>
      </c>
      <c r="C1678" t="s">
        <v>1702</v>
      </c>
      <c r="D1678" t="s">
        <v>153</v>
      </c>
      <c r="E1678" t="s">
        <v>30</v>
      </c>
      <c r="F1678" t="str">
        <f>"00611199"</f>
        <v>00611199</v>
      </c>
      <c r="G1678">
        <v>22.5</v>
      </c>
      <c r="H1678">
        <v>0</v>
      </c>
      <c r="I1678">
        <v>0</v>
      </c>
      <c r="J1678">
        <v>0</v>
      </c>
      <c r="K1678">
        <v>0</v>
      </c>
      <c r="N1678">
        <v>3</v>
      </c>
      <c r="O1678">
        <v>3</v>
      </c>
      <c r="P1678">
        <v>4</v>
      </c>
      <c r="Q1678">
        <v>0</v>
      </c>
      <c r="R1678">
        <v>29.5</v>
      </c>
      <c r="S1678">
        <v>0</v>
      </c>
      <c r="T1678">
        <v>0</v>
      </c>
      <c r="U1678">
        <v>0</v>
      </c>
      <c r="V1678">
        <v>0</v>
      </c>
      <c r="X1678">
        <v>29.5</v>
      </c>
    </row>
    <row r="1679" spans="1:24" ht="15">
      <c r="A1679">
        <v>1672</v>
      </c>
      <c r="B1679">
        <v>106971</v>
      </c>
      <c r="C1679" t="s">
        <v>1724</v>
      </c>
      <c r="D1679" t="s">
        <v>75</v>
      </c>
      <c r="E1679" t="s">
        <v>690</v>
      </c>
      <c r="F1679" t="str">
        <f>"00588370"</f>
        <v>00588370</v>
      </c>
      <c r="G1679">
        <v>12.5</v>
      </c>
      <c r="H1679">
        <v>7</v>
      </c>
      <c r="I1679">
        <v>0</v>
      </c>
      <c r="J1679">
        <v>0</v>
      </c>
      <c r="K1679">
        <v>0</v>
      </c>
      <c r="N1679">
        <v>6</v>
      </c>
      <c r="O1679">
        <v>6</v>
      </c>
      <c r="P1679">
        <v>4</v>
      </c>
      <c r="Q1679">
        <v>0</v>
      </c>
      <c r="R1679">
        <v>29.5</v>
      </c>
      <c r="S1679">
        <v>0</v>
      </c>
      <c r="T1679">
        <v>0</v>
      </c>
      <c r="U1679">
        <v>0</v>
      </c>
      <c r="V1679">
        <v>0</v>
      </c>
      <c r="X1679">
        <v>29.5</v>
      </c>
    </row>
    <row r="1680" spans="1:24" ht="15">
      <c r="A1680">
        <v>1673</v>
      </c>
      <c r="B1680">
        <v>88138</v>
      </c>
      <c r="C1680" t="s">
        <v>1419</v>
      </c>
      <c r="D1680" t="s">
        <v>1728</v>
      </c>
      <c r="E1680" t="s">
        <v>21</v>
      </c>
      <c r="F1680" t="str">
        <f>"201511033484"</f>
        <v>201511033484</v>
      </c>
      <c r="G1680">
        <v>17.4</v>
      </c>
      <c r="H1680">
        <v>0</v>
      </c>
      <c r="I1680">
        <v>0</v>
      </c>
      <c r="J1680">
        <v>0</v>
      </c>
      <c r="K1680">
        <v>0</v>
      </c>
      <c r="M1680">
        <v>5</v>
      </c>
      <c r="N1680">
        <v>3</v>
      </c>
      <c r="O1680">
        <v>8</v>
      </c>
      <c r="P1680">
        <v>4</v>
      </c>
      <c r="Q1680">
        <v>0</v>
      </c>
      <c r="R1680">
        <v>29.4</v>
      </c>
      <c r="S1680">
        <v>0</v>
      </c>
      <c r="T1680">
        <v>0</v>
      </c>
      <c r="U1680">
        <v>0</v>
      </c>
      <c r="V1680">
        <v>0</v>
      </c>
      <c r="X1680">
        <v>29.4</v>
      </c>
    </row>
    <row r="1681" spans="1:24" ht="15">
      <c r="A1681">
        <v>1674</v>
      </c>
      <c r="B1681">
        <v>5207</v>
      </c>
      <c r="C1681" t="s">
        <v>1729</v>
      </c>
      <c r="D1681" t="s">
        <v>1730</v>
      </c>
      <c r="E1681" t="s">
        <v>12</v>
      </c>
      <c r="F1681" t="str">
        <f>"00613322"</f>
        <v>00613322</v>
      </c>
      <c r="G1681">
        <v>17.4</v>
      </c>
      <c r="H1681">
        <v>0</v>
      </c>
      <c r="I1681">
        <v>0</v>
      </c>
      <c r="J1681">
        <v>0</v>
      </c>
      <c r="K1681">
        <v>0</v>
      </c>
      <c r="M1681">
        <v>5</v>
      </c>
      <c r="N1681">
        <v>3</v>
      </c>
      <c r="O1681">
        <v>8</v>
      </c>
      <c r="P1681">
        <v>4</v>
      </c>
      <c r="Q1681">
        <v>0</v>
      </c>
      <c r="R1681">
        <v>29.4</v>
      </c>
      <c r="S1681">
        <v>0</v>
      </c>
      <c r="T1681">
        <v>0</v>
      </c>
      <c r="U1681">
        <v>0</v>
      </c>
      <c r="V1681">
        <v>0</v>
      </c>
      <c r="X1681">
        <v>29.4</v>
      </c>
    </row>
    <row r="1682" spans="1:24" ht="15">
      <c r="A1682">
        <v>1675</v>
      </c>
      <c r="B1682">
        <v>18320</v>
      </c>
      <c r="C1682" t="s">
        <v>1733</v>
      </c>
      <c r="D1682" t="s">
        <v>866</v>
      </c>
      <c r="E1682" t="s">
        <v>12</v>
      </c>
      <c r="F1682" t="str">
        <f>"00009478"</f>
        <v>00009478</v>
      </c>
      <c r="G1682">
        <v>16.28</v>
      </c>
      <c r="H1682">
        <v>0</v>
      </c>
      <c r="I1682">
        <v>0</v>
      </c>
      <c r="J1682">
        <v>0</v>
      </c>
      <c r="K1682">
        <v>0</v>
      </c>
      <c r="N1682">
        <v>3</v>
      </c>
      <c r="O1682">
        <v>3</v>
      </c>
      <c r="P1682">
        <v>4</v>
      </c>
      <c r="Q1682">
        <v>0</v>
      </c>
      <c r="R1682">
        <v>23.28</v>
      </c>
      <c r="S1682">
        <v>0</v>
      </c>
      <c r="T1682">
        <v>0</v>
      </c>
      <c r="U1682">
        <v>6</v>
      </c>
      <c r="V1682">
        <v>0</v>
      </c>
      <c r="X1682">
        <v>29.28</v>
      </c>
    </row>
    <row r="1683" spans="1:24" ht="15">
      <c r="A1683">
        <v>1676</v>
      </c>
      <c r="B1683">
        <v>110294</v>
      </c>
      <c r="C1683" t="s">
        <v>1734</v>
      </c>
      <c r="D1683" t="s">
        <v>21</v>
      </c>
      <c r="E1683" t="s">
        <v>80</v>
      </c>
      <c r="F1683" t="str">
        <f>"00649927"</f>
        <v>00649927</v>
      </c>
      <c r="G1683">
        <v>15.28</v>
      </c>
      <c r="H1683">
        <v>0</v>
      </c>
      <c r="I1683">
        <v>0</v>
      </c>
      <c r="J1683">
        <v>0</v>
      </c>
      <c r="K1683">
        <v>0</v>
      </c>
      <c r="L1683">
        <v>7</v>
      </c>
      <c r="O1683">
        <v>7</v>
      </c>
      <c r="P1683">
        <v>4</v>
      </c>
      <c r="Q1683">
        <v>0</v>
      </c>
      <c r="R1683">
        <v>26.28</v>
      </c>
      <c r="S1683">
        <v>0</v>
      </c>
      <c r="T1683">
        <v>0</v>
      </c>
      <c r="U1683">
        <v>3</v>
      </c>
      <c r="V1683">
        <v>0</v>
      </c>
      <c r="X1683">
        <v>29.28</v>
      </c>
    </row>
    <row r="1684" spans="1:24" ht="15">
      <c r="A1684">
        <v>1677</v>
      </c>
      <c r="B1684">
        <v>62066</v>
      </c>
      <c r="C1684" t="s">
        <v>1735</v>
      </c>
      <c r="D1684" t="s">
        <v>41</v>
      </c>
      <c r="E1684" t="s">
        <v>12</v>
      </c>
      <c r="F1684" t="str">
        <f>"00255163"</f>
        <v>00255163</v>
      </c>
      <c r="G1684">
        <v>15.28</v>
      </c>
      <c r="H1684">
        <v>0</v>
      </c>
      <c r="I1684">
        <v>0</v>
      </c>
      <c r="J1684">
        <v>0</v>
      </c>
      <c r="K1684">
        <v>0</v>
      </c>
      <c r="L1684">
        <v>7</v>
      </c>
      <c r="N1684">
        <v>3</v>
      </c>
      <c r="O1684">
        <v>10</v>
      </c>
      <c r="P1684">
        <v>4</v>
      </c>
      <c r="Q1684">
        <v>0</v>
      </c>
      <c r="R1684">
        <v>29.28</v>
      </c>
      <c r="S1684">
        <v>0</v>
      </c>
      <c r="T1684">
        <v>0</v>
      </c>
      <c r="U1684">
        <v>0</v>
      </c>
      <c r="V1684">
        <v>0</v>
      </c>
      <c r="X1684">
        <v>29.28</v>
      </c>
    </row>
    <row r="1685" spans="1:24" ht="15">
      <c r="A1685">
        <v>1678</v>
      </c>
      <c r="B1685">
        <v>68130</v>
      </c>
      <c r="C1685" t="s">
        <v>1736</v>
      </c>
      <c r="D1685" t="s">
        <v>41</v>
      </c>
      <c r="E1685" t="s">
        <v>21</v>
      </c>
      <c r="F1685" t="str">
        <f>"201601000259"</f>
        <v>201601000259</v>
      </c>
      <c r="G1685">
        <v>16.25</v>
      </c>
      <c r="H1685">
        <v>0</v>
      </c>
      <c r="I1685">
        <v>0</v>
      </c>
      <c r="J1685">
        <v>0</v>
      </c>
      <c r="K1685">
        <v>0</v>
      </c>
      <c r="N1685">
        <v>3</v>
      </c>
      <c r="O1685">
        <v>3</v>
      </c>
      <c r="P1685">
        <v>4</v>
      </c>
      <c r="Q1685">
        <v>0</v>
      </c>
      <c r="R1685">
        <v>23.25</v>
      </c>
      <c r="S1685">
        <v>0</v>
      </c>
      <c r="T1685">
        <v>0</v>
      </c>
      <c r="U1685">
        <v>6</v>
      </c>
      <c r="V1685">
        <v>0</v>
      </c>
      <c r="X1685">
        <v>29.25</v>
      </c>
    </row>
    <row r="1686" spans="1:24" ht="15">
      <c r="A1686">
        <v>1679</v>
      </c>
      <c r="B1686">
        <v>95293</v>
      </c>
      <c r="C1686" t="s">
        <v>1738</v>
      </c>
      <c r="D1686" t="s">
        <v>1068</v>
      </c>
      <c r="E1686" t="s">
        <v>12</v>
      </c>
      <c r="F1686" t="str">
        <f>"00633505"</f>
        <v>00633505</v>
      </c>
      <c r="G1686">
        <v>15.2</v>
      </c>
      <c r="H1686">
        <v>0</v>
      </c>
      <c r="I1686">
        <v>0</v>
      </c>
      <c r="J1686">
        <v>0</v>
      </c>
      <c r="K1686">
        <v>0</v>
      </c>
      <c r="L1686">
        <v>7</v>
      </c>
      <c r="N1686">
        <v>3</v>
      </c>
      <c r="O1686">
        <v>10</v>
      </c>
      <c r="P1686">
        <v>4</v>
      </c>
      <c r="Q1686">
        <v>0</v>
      </c>
      <c r="R1686">
        <v>29.2</v>
      </c>
      <c r="S1686">
        <v>0</v>
      </c>
      <c r="T1686">
        <v>0</v>
      </c>
      <c r="U1686">
        <v>0</v>
      </c>
      <c r="V1686">
        <v>0</v>
      </c>
      <c r="X1686">
        <v>29.2</v>
      </c>
    </row>
    <row r="1687" spans="1:24" ht="15">
      <c r="A1687">
        <v>1680</v>
      </c>
      <c r="B1687">
        <v>58501</v>
      </c>
      <c r="C1687" t="s">
        <v>1739</v>
      </c>
      <c r="D1687" t="s">
        <v>75</v>
      </c>
      <c r="E1687" t="s">
        <v>17</v>
      </c>
      <c r="F1687" t="str">
        <f>"200712000300"</f>
        <v>200712000300</v>
      </c>
      <c r="G1687">
        <v>16.18</v>
      </c>
      <c r="H1687">
        <v>0</v>
      </c>
      <c r="I1687">
        <v>0</v>
      </c>
      <c r="J1687">
        <v>0</v>
      </c>
      <c r="K1687">
        <v>0</v>
      </c>
      <c r="N1687">
        <v>3</v>
      </c>
      <c r="O1687">
        <v>3</v>
      </c>
      <c r="P1687">
        <v>4</v>
      </c>
      <c r="Q1687">
        <v>0</v>
      </c>
      <c r="R1687">
        <v>23.18</v>
      </c>
      <c r="S1687">
        <v>0</v>
      </c>
      <c r="T1687">
        <v>0</v>
      </c>
      <c r="U1687">
        <v>6</v>
      </c>
      <c r="V1687">
        <v>0</v>
      </c>
      <c r="X1687">
        <v>29.18</v>
      </c>
    </row>
    <row r="1688" spans="1:24" ht="15">
      <c r="A1688">
        <v>1681</v>
      </c>
      <c r="B1688">
        <v>13422</v>
      </c>
      <c r="C1688" t="s">
        <v>1743</v>
      </c>
      <c r="D1688" t="s">
        <v>452</v>
      </c>
      <c r="E1688" t="s">
        <v>80</v>
      </c>
      <c r="F1688" t="str">
        <f>"00001396"</f>
        <v>00001396</v>
      </c>
      <c r="G1688">
        <v>16.08</v>
      </c>
      <c r="H1688">
        <v>0</v>
      </c>
      <c r="I1688">
        <v>0</v>
      </c>
      <c r="J1688">
        <v>0</v>
      </c>
      <c r="K1688">
        <v>0</v>
      </c>
      <c r="N1688">
        <v>3</v>
      </c>
      <c r="O1688">
        <v>3</v>
      </c>
      <c r="P1688">
        <v>4</v>
      </c>
      <c r="Q1688">
        <v>0</v>
      </c>
      <c r="R1688">
        <v>23.08</v>
      </c>
      <c r="S1688">
        <v>0</v>
      </c>
      <c r="T1688">
        <v>0</v>
      </c>
      <c r="U1688">
        <v>6</v>
      </c>
      <c r="V1688">
        <v>0</v>
      </c>
      <c r="X1688">
        <v>29.08</v>
      </c>
    </row>
    <row r="1689" spans="1:24" ht="15">
      <c r="A1689">
        <v>1682</v>
      </c>
      <c r="B1689">
        <v>2655</v>
      </c>
      <c r="C1689" t="s">
        <v>1746</v>
      </c>
      <c r="D1689" t="s">
        <v>514</v>
      </c>
      <c r="E1689" t="s">
        <v>20</v>
      </c>
      <c r="F1689" t="str">
        <f>"201511035545"</f>
        <v>201511035545</v>
      </c>
      <c r="G1689">
        <v>18.05</v>
      </c>
      <c r="H1689">
        <v>0</v>
      </c>
      <c r="I1689">
        <v>0</v>
      </c>
      <c r="J1689">
        <v>0</v>
      </c>
      <c r="K1689">
        <v>0</v>
      </c>
      <c r="L1689">
        <v>7</v>
      </c>
      <c r="O1689">
        <v>7</v>
      </c>
      <c r="P1689">
        <v>4</v>
      </c>
      <c r="Q1689">
        <v>0</v>
      </c>
      <c r="R1689">
        <v>29.05</v>
      </c>
      <c r="S1689">
        <v>0</v>
      </c>
      <c r="T1689">
        <v>0</v>
      </c>
      <c r="U1689">
        <v>0</v>
      </c>
      <c r="V1689">
        <v>0</v>
      </c>
      <c r="X1689">
        <v>29.05</v>
      </c>
    </row>
    <row r="1690" spans="1:24" ht="15">
      <c r="A1690">
        <v>1683</v>
      </c>
      <c r="B1690">
        <v>16273</v>
      </c>
      <c r="C1690" t="s">
        <v>1750</v>
      </c>
      <c r="D1690" t="s">
        <v>1716</v>
      </c>
      <c r="E1690" t="s">
        <v>30</v>
      </c>
      <c r="F1690" t="str">
        <f>"00159915"</f>
        <v>00159915</v>
      </c>
      <c r="G1690">
        <v>15.95</v>
      </c>
      <c r="H1690">
        <v>0</v>
      </c>
      <c r="I1690">
        <v>0</v>
      </c>
      <c r="J1690">
        <v>0</v>
      </c>
      <c r="K1690">
        <v>0</v>
      </c>
      <c r="O1690">
        <v>0</v>
      </c>
      <c r="P1690">
        <v>4</v>
      </c>
      <c r="Q1690">
        <v>0</v>
      </c>
      <c r="R1690">
        <v>19.95</v>
      </c>
      <c r="S1690">
        <v>0</v>
      </c>
      <c r="T1690">
        <v>0</v>
      </c>
      <c r="U1690">
        <v>9</v>
      </c>
      <c r="V1690">
        <v>0</v>
      </c>
      <c r="X1690">
        <v>28.95</v>
      </c>
    </row>
    <row r="1691" spans="1:24" ht="15">
      <c r="A1691">
        <v>1684</v>
      </c>
      <c r="B1691">
        <v>30292</v>
      </c>
      <c r="C1691" t="s">
        <v>1751</v>
      </c>
      <c r="D1691" t="s">
        <v>16</v>
      </c>
      <c r="E1691" t="s">
        <v>44</v>
      </c>
      <c r="F1691" t="str">
        <f>"00005350"</f>
        <v>00005350</v>
      </c>
      <c r="G1691">
        <v>15.95</v>
      </c>
      <c r="H1691">
        <v>0</v>
      </c>
      <c r="I1691">
        <v>0</v>
      </c>
      <c r="J1691">
        <v>0</v>
      </c>
      <c r="K1691">
        <v>0</v>
      </c>
      <c r="N1691">
        <v>3</v>
      </c>
      <c r="O1691">
        <v>3</v>
      </c>
      <c r="P1691">
        <v>4</v>
      </c>
      <c r="Q1691">
        <v>0</v>
      </c>
      <c r="R1691">
        <v>22.95</v>
      </c>
      <c r="S1691">
        <v>0</v>
      </c>
      <c r="T1691">
        <v>0</v>
      </c>
      <c r="U1691">
        <v>6</v>
      </c>
      <c r="V1691">
        <v>0</v>
      </c>
      <c r="X1691">
        <v>28.95</v>
      </c>
    </row>
    <row r="1692" spans="1:24" ht="15">
      <c r="A1692">
        <v>1685</v>
      </c>
      <c r="B1692">
        <v>97072</v>
      </c>
      <c r="C1692" t="s">
        <v>1752</v>
      </c>
      <c r="D1692" t="s">
        <v>16</v>
      </c>
      <c r="E1692" t="s">
        <v>60</v>
      </c>
      <c r="F1692" t="str">
        <f>"00637988"</f>
        <v>00637988</v>
      </c>
      <c r="G1692">
        <v>18.95</v>
      </c>
      <c r="H1692">
        <v>0</v>
      </c>
      <c r="I1692">
        <v>0</v>
      </c>
      <c r="J1692">
        <v>0</v>
      </c>
      <c r="K1692">
        <v>0</v>
      </c>
      <c r="L1692">
        <v>7</v>
      </c>
      <c r="N1692">
        <v>3</v>
      </c>
      <c r="O1692">
        <v>10</v>
      </c>
      <c r="P1692">
        <v>0</v>
      </c>
      <c r="Q1692">
        <v>0</v>
      </c>
      <c r="R1692">
        <v>28.95</v>
      </c>
      <c r="S1692">
        <v>0</v>
      </c>
      <c r="T1692">
        <v>0</v>
      </c>
      <c r="U1692">
        <v>0</v>
      </c>
      <c r="V1692">
        <v>0</v>
      </c>
      <c r="X1692">
        <v>28.95</v>
      </c>
    </row>
    <row r="1693" spans="1:24" ht="15">
      <c r="A1693">
        <v>1686</v>
      </c>
      <c r="B1693">
        <v>106</v>
      </c>
      <c r="C1693" t="s">
        <v>1754</v>
      </c>
      <c r="D1693" t="s">
        <v>1755</v>
      </c>
      <c r="E1693" t="s">
        <v>135</v>
      </c>
      <c r="F1693" t="str">
        <f>"00588310"</f>
        <v>00588310</v>
      </c>
      <c r="G1693">
        <v>17.93</v>
      </c>
      <c r="H1693">
        <v>0</v>
      </c>
      <c r="I1693">
        <v>0</v>
      </c>
      <c r="J1693">
        <v>0</v>
      </c>
      <c r="K1693">
        <v>0</v>
      </c>
      <c r="L1693">
        <v>7</v>
      </c>
      <c r="O1693">
        <v>7</v>
      </c>
      <c r="P1693">
        <v>4</v>
      </c>
      <c r="Q1693">
        <v>0</v>
      </c>
      <c r="R1693">
        <v>28.93</v>
      </c>
      <c r="S1693">
        <v>0</v>
      </c>
      <c r="T1693">
        <v>0</v>
      </c>
      <c r="U1693">
        <v>0</v>
      </c>
      <c r="V1693">
        <v>0</v>
      </c>
      <c r="X1693">
        <v>28.93</v>
      </c>
    </row>
    <row r="1694" spans="1:24" ht="15">
      <c r="A1694">
        <v>1687</v>
      </c>
      <c r="B1694">
        <v>3298</v>
      </c>
      <c r="C1694" t="s">
        <v>1759</v>
      </c>
      <c r="D1694" t="s">
        <v>1760</v>
      </c>
      <c r="E1694" t="s">
        <v>27</v>
      </c>
      <c r="F1694" t="str">
        <f>"00573567"</f>
        <v>00573567</v>
      </c>
      <c r="G1694">
        <v>21.85</v>
      </c>
      <c r="H1694">
        <v>0</v>
      </c>
      <c r="I1694">
        <v>0</v>
      </c>
      <c r="J1694">
        <v>0</v>
      </c>
      <c r="K1694">
        <v>0</v>
      </c>
      <c r="L1694">
        <v>7</v>
      </c>
      <c r="O1694">
        <v>7</v>
      </c>
      <c r="P1694">
        <v>0</v>
      </c>
      <c r="Q1694">
        <v>0</v>
      </c>
      <c r="R1694">
        <v>28.85</v>
      </c>
      <c r="S1694">
        <v>0</v>
      </c>
      <c r="T1694">
        <v>0</v>
      </c>
      <c r="U1694">
        <v>0</v>
      </c>
      <c r="V1694">
        <v>0</v>
      </c>
      <c r="X1694">
        <v>28.85</v>
      </c>
    </row>
    <row r="1695" spans="1:24" ht="15">
      <c r="A1695">
        <v>1688</v>
      </c>
      <c r="B1695">
        <v>33493</v>
      </c>
      <c r="C1695" t="s">
        <v>1761</v>
      </c>
      <c r="D1695" t="s">
        <v>1762</v>
      </c>
      <c r="E1695" t="s">
        <v>111</v>
      </c>
      <c r="F1695" t="str">
        <f>"00158341"</f>
        <v>00158341</v>
      </c>
      <c r="G1695">
        <v>17.85</v>
      </c>
      <c r="H1695">
        <v>0</v>
      </c>
      <c r="I1695">
        <v>0</v>
      </c>
      <c r="J1695">
        <v>0</v>
      </c>
      <c r="K1695">
        <v>0</v>
      </c>
      <c r="L1695">
        <v>7</v>
      </c>
      <c r="O1695">
        <v>7</v>
      </c>
      <c r="P1695">
        <v>4</v>
      </c>
      <c r="Q1695">
        <v>0</v>
      </c>
      <c r="R1695">
        <v>28.85</v>
      </c>
      <c r="S1695">
        <v>0</v>
      </c>
      <c r="T1695">
        <v>0</v>
      </c>
      <c r="U1695">
        <v>0</v>
      </c>
      <c r="V1695">
        <v>0</v>
      </c>
      <c r="X1695">
        <v>28.85</v>
      </c>
    </row>
    <row r="1696" spans="1:24" ht="15">
      <c r="A1696">
        <v>1689</v>
      </c>
      <c r="B1696">
        <v>60639</v>
      </c>
      <c r="C1696" t="s">
        <v>1763</v>
      </c>
      <c r="D1696" t="s">
        <v>305</v>
      </c>
      <c r="E1696" t="s">
        <v>1764</v>
      </c>
      <c r="F1696" t="str">
        <f>"00606449"</f>
        <v>00606449</v>
      </c>
      <c r="G1696">
        <v>15.78</v>
      </c>
      <c r="H1696">
        <v>0</v>
      </c>
      <c r="I1696">
        <v>0</v>
      </c>
      <c r="J1696">
        <v>0</v>
      </c>
      <c r="K1696">
        <v>0</v>
      </c>
      <c r="L1696">
        <v>7</v>
      </c>
      <c r="O1696">
        <v>7</v>
      </c>
      <c r="P1696">
        <v>0</v>
      </c>
      <c r="Q1696">
        <v>0</v>
      </c>
      <c r="R1696">
        <v>22.78</v>
      </c>
      <c r="S1696">
        <v>0</v>
      </c>
      <c r="T1696">
        <v>0</v>
      </c>
      <c r="U1696">
        <v>6</v>
      </c>
      <c r="V1696">
        <v>0</v>
      </c>
      <c r="X1696">
        <v>28.78</v>
      </c>
    </row>
    <row r="1697" spans="1:24" ht="15">
      <c r="A1697">
        <v>1690</v>
      </c>
      <c r="B1697">
        <v>78143</v>
      </c>
      <c r="C1697" t="s">
        <v>1765</v>
      </c>
      <c r="D1697" t="s">
        <v>1766</v>
      </c>
      <c r="E1697" t="s">
        <v>113</v>
      </c>
      <c r="F1697" t="str">
        <f>"00611153"</f>
        <v>00611153</v>
      </c>
      <c r="G1697">
        <v>21.78</v>
      </c>
      <c r="H1697">
        <v>0</v>
      </c>
      <c r="I1697">
        <v>0</v>
      </c>
      <c r="J1697">
        <v>0</v>
      </c>
      <c r="K1697">
        <v>0</v>
      </c>
      <c r="L1697">
        <v>7</v>
      </c>
      <c r="O1697">
        <v>7</v>
      </c>
      <c r="P1697">
        <v>0</v>
      </c>
      <c r="Q1697">
        <v>0</v>
      </c>
      <c r="R1697">
        <v>28.78</v>
      </c>
      <c r="S1697">
        <v>0</v>
      </c>
      <c r="T1697">
        <v>0</v>
      </c>
      <c r="U1697">
        <v>0</v>
      </c>
      <c r="V1697">
        <v>0</v>
      </c>
      <c r="X1697">
        <v>28.78</v>
      </c>
    </row>
    <row r="1698" spans="1:24" ht="15">
      <c r="A1698">
        <v>1691</v>
      </c>
      <c r="B1698">
        <v>74971</v>
      </c>
      <c r="C1698" t="s">
        <v>1767</v>
      </c>
      <c r="D1698" t="s">
        <v>236</v>
      </c>
      <c r="E1698" t="s">
        <v>30</v>
      </c>
      <c r="F1698" t="str">
        <f>"201512004864"</f>
        <v>201512004864</v>
      </c>
      <c r="G1698">
        <v>17.78</v>
      </c>
      <c r="H1698">
        <v>0</v>
      </c>
      <c r="I1698">
        <v>0</v>
      </c>
      <c r="J1698">
        <v>0</v>
      </c>
      <c r="K1698">
        <v>0</v>
      </c>
      <c r="L1698">
        <v>7</v>
      </c>
      <c r="O1698">
        <v>7</v>
      </c>
      <c r="P1698">
        <v>4</v>
      </c>
      <c r="Q1698">
        <v>0</v>
      </c>
      <c r="R1698">
        <v>28.78</v>
      </c>
      <c r="S1698">
        <v>0</v>
      </c>
      <c r="T1698">
        <v>0</v>
      </c>
      <c r="U1698">
        <v>0</v>
      </c>
      <c r="V1698">
        <v>0</v>
      </c>
      <c r="X1698">
        <v>28.78</v>
      </c>
    </row>
    <row r="1699" spans="1:24" ht="15">
      <c r="A1699">
        <v>1692</v>
      </c>
      <c r="B1699">
        <v>45486</v>
      </c>
      <c r="C1699" t="s">
        <v>1769</v>
      </c>
      <c r="D1699" t="s">
        <v>53</v>
      </c>
      <c r="E1699" t="s">
        <v>155</v>
      </c>
      <c r="F1699" t="str">
        <f>"00584205"</f>
        <v>00584205</v>
      </c>
      <c r="G1699">
        <v>21.75</v>
      </c>
      <c r="H1699">
        <v>0</v>
      </c>
      <c r="I1699">
        <v>0</v>
      </c>
      <c r="J1699">
        <v>0</v>
      </c>
      <c r="K1699">
        <v>0</v>
      </c>
      <c r="N1699">
        <v>3</v>
      </c>
      <c r="O1699">
        <v>3</v>
      </c>
      <c r="P1699">
        <v>4</v>
      </c>
      <c r="Q1699">
        <v>0</v>
      </c>
      <c r="R1699">
        <v>28.75</v>
      </c>
      <c r="S1699">
        <v>0</v>
      </c>
      <c r="T1699">
        <v>0</v>
      </c>
      <c r="U1699">
        <v>0</v>
      </c>
      <c r="V1699">
        <v>0</v>
      </c>
      <c r="X1699">
        <v>28.75</v>
      </c>
    </row>
    <row r="1700" spans="1:24" ht="15">
      <c r="A1700">
        <v>1693</v>
      </c>
      <c r="B1700">
        <v>92161</v>
      </c>
      <c r="C1700" t="s">
        <v>1770</v>
      </c>
      <c r="D1700" t="s">
        <v>728</v>
      </c>
      <c r="E1700" t="s">
        <v>83</v>
      </c>
      <c r="F1700" t="str">
        <f>"00630987"</f>
        <v>00630987</v>
      </c>
      <c r="G1700">
        <v>17.73</v>
      </c>
      <c r="H1700">
        <v>0</v>
      </c>
      <c r="I1700">
        <v>0</v>
      </c>
      <c r="J1700">
        <v>0</v>
      </c>
      <c r="K1700">
        <v>0</v>
      </c>
      <c r="L1700">
        <v>7</v>
      </c>
      <c r="O1700">
        <v>7</v>
      </c>
      <c r="P1700">
        <v>4</v>
      </c>
      <c r="Q1700">
        <v>0</v>
      </c>
      <c r="R1700">
        <v>28.73</v>
      </c>
      <c r="S1700">
        <v>0</v>
      </c>
      <c r="T1700">
        <v>0</v>
      </c>
      <c r="U1700">
        <v>0</v>
      </c>
      <c r="V1700">
        <v>0</v>
      </c>
      <c r="X1700">
        <v>28.73</v>
      </c>
    </row>
    <row r="1701" spans="1:24" ht="15">
      <c r="A1701">
        <v>1694</v>
      </c>
      <c r="B1701">
        <v>82643</v>
      </c>
      <c r="C1701" t="s">
        <v>1773</v>
      </c>
      <c r="D1701" t="s">
        <v>1774</v>
      </c>
      <c r="E1701" t="s">
        <v>288</v>
      </c>
      <c r="F1701" t="str">
        <f>"00644765"</f>
        <v>00644765</v>
      </c>
      <c r="G1701">
        <v>18.65</v>
      </c>
      <c r="H1701">
        <v>0</v>
      </c>
      <c r="I1701">
        <v>0</v>
      </c>
      <c r="J1701">
        <v>0</v>
      </c>
      <c r="K1701">
        <v>0</v>
      </c>
      <c r="O1701">
        <v>0</v>
      </c>
      <c r="P1701">
        <v>4</v>
      </c>
      <c r="Q1701">
        <v>0</v>
      </c>
      <c r="R1701">
        <v>22.65</v>
      </c>
      <c r="S1701">
        <v>0</v>
      </c>
      <c r="T1701">
        <v>0</v>
      </c>
      <c r="U1701">
        <v>6</v>
      </c>
      <c r="V1701">
        <v>0</v>
      </c>
      <c r="X1701">
        <v>28.65</v>
      </c>
    </row>
    <row r="1702" spans="1:24" ht="15">
      <c r="A1702">
        <v>1695</v>
      </c>
      <c r="B1702">
        <v>52210</v>
      </c>
      <c r="C1702" t="s">
        <v>1778</v>
      </c>
      <c r="D1702" t="s">
        <v>1704</v>
      </c>
      <c r="E1702" t="s">
        <v>219</v>
      </c>
      <c r="F1702" t="str">
        <f>"00543432"</f>
        <v>00543432</v>
      </c>
      <c r="G1702">
        <v>17.55</v>
      </c>
      <c r="H1702">
        <v>0</v>
      </c>
      <c r="I1702">
        <v>0</v>
      </c>
      <c r="J1702">
        <v>0</v>
      </c>
      <c r="K1702">
        <v>0</v>
      </c>
      <c r="L1702">
        <v>7</v>
      </c>
      <c r="O1702">
        <v>7</v>
      </c>
      <c r="P1702">
        <v>4</v>
      </c>
      <c r="Q1702">
        <v>0</v>
      </c>
      <c r="R1702">
        <v>28.55</v>
      </c>
      <c r="S1702">
        <v>0</v>
      </c>
      <c r="T1702">
        <v>0</v>
      </c>
      <c r="U1702">
        <v>0</v>
      </c>
      <c r="V1702">
        <v>0</v>
      </c>
      <c r="X1702">
        <v>28.55</v>
      </c>
    </row>
    <row r="1703" spans="1:24" ht="15">
      <c r="A1703">
        <v>1696</v>
      </c>
      <c r="B1703">
        <v>104706</v>
      </c>
      <c r="C1703" t="s">
        <v>1781</v>
      </c>
      <c r="D1703" t="s">
        <v>90</v>
      </c>
      <c r="E1703" t="s">
        <v>17</v>
      </c>
      <c r="F1703" t="str">
        <f>"00022828"</f>
        <v>00022828</v>
      </c>
      <c r="G1703">
        <v>17.48</v>
      </c>
      <c r="H1703">
        <v>0</v>
      </c>
      <c r="I1703">
        <v>0</v>
      </c>
      <c r="J1703">
        <v>0</v>
      </c>
      <c r="K1703">
        <v>0</v>
      </c>
      <c r="L1703">
        <v>7</v>
      </c>
      <c r="O1703">
        <v>7</v>
      </c>
      <c r="P1703">
        <v>4</v>
      </c>
      <c r="Q1703">
        <v>0</v>
      </c>
      <c r="R1703">
        <v>28.48</v>
      </c>
      <c r="S1703">
        <v>0</v>
      </c>
      <c r="T1703">
        <v>0</v>
      </c>
      <c r="U1703">
        <v>0</v>
      </c>
      <c r="V1703">
        <v>0</v>
      </c>
      <c r="X1703">
        <v>28.48</v>
      </c>
    </row>
    <row r="1704" spans="1:24" ht="15">
      <c r="A1704">
        <v>1697</v>
      </c>
      <c r="B1704">
        <v>38723</v>
      </c>
      <c r="C1704" t="s">
        <v>1785</v>
      </c>
      <c r="D1704" t="s">
        <v>16</v>
      </c>
      <c r="E1704" t="s">
        <v>12</v>
      </c>
      <c r="F1704" t="str">
        <f>"201406013442"</f>
        <v>201406013442</v>
      </c>
      <c r="G1704">
        <v>18.33</v>
      </c>
      <c r="H1704">
        <v>0</v>
      </c>
      <c r="I1704">
        <v>0</v>
      </c>
      <c r="J1704">
        <v>0</v>
      </c>
      <c r="K1704">
        <v>0</v>
      </c>
      <c r="N1704">
        <v>3</v>
      </c>
      <c r="O1704">
        <v>3</v>
      </c>
      <c r="P1704">
        <v>4</v>
      </c>
      <c r="Q1704">
        <v>0</v>
      </c>
      <c r="R1704">
        <v>25.33</v>
      </c>
      <c r="S1704">
        <v>0</v>
      </c>
      <c r="T1704">
        <v>0</v>
      </c>
      <c r="U1704">
        <v>3</v>
      </c>
      <c r="V1704">
        <v>0</v>
      </c>
      <c r="X1704">
        <v>28.33</v>
      </c>
    </row>
    <row r="1705" spans="1:24" ht="15">
      <c r="A1705">
        <v>1698</v>
      </c>
      <c r="B1705">
        <v>93275</v>
      </c>
      <c r="C1705" t="s">
        <v>1786</v>
      </c>
      <c r="D1705" t="s">
        <v>16</v>
      </c>
      <c r="E1705" t="s">
        <v>76</v>
      </c>
      <c r="F1705" t="str">
        <f>"00434438"</f>
        <v>00434438</v>
      </c>
      <c r="G1705">
        <v>21.33</v>
      </c>
      <c r="H1705">
        <v>0</v>
      </c>
      <c r="I1705">
        <v>0</v>
      </c>
      <c r="J1705">
        <v>0</v>
      </c>
      <c r="K1705">
        <v>0</v>
      </c>
      <c r="N1705">
        <v>3</v>
      </c>
      <c r="O1705">
        <v>3</v>
      </c>
      <c r="P1705">
        <v>4</v>
      </c>
      <c r="Q1705">
        <v>0</v>
      </c>
      <c r="R1705">
        <v>28.33</v>
      </c>
      <c r="S1705">
        <v>0</v>
      </c>
      <c r="T1705">
        <v>0</v>
      </c>
      <c r="U1705">
        <v>0</v>
      </c>
      <c r="V1705">
        <v>0</v>
      </c>
      <c r="X1705">
        <v>28.33</v>
      </c>
    </row>
    <row r="1706" spans="1:24" ht="15">
      <c r="A1706">
        <v>1699</v>
      </c>
      <c r="B1706">
        <v>100346</v>
      </c>
      <c r="C1706" t="s">
        <v>1788</v>
      </c>
      <c r="D1706" t="s">
        <v>17</v>
      </c>
      <c r="E1706" t="s">
        <v>20</v>
      </c>
      <c r="F1706" t="str">
        <f>"00644451"</f>
        <v>00644451</v>
      </c>
      <c r="G1706">
        <v>17.3</v>
      </c>
      <c r="H1706">
        <v>0</v>
      </c>
      <c r="I1706">
        <v>0</v>
      </c>
      <c r="J1706">
        <v>0</v>
      </c>
      <c r="K1706">
        <v>0</v>
      </c>
      <c r="L1706">
        <v>7</v>
      </c>
      <c r="O1706">
        <v>7</v>
      </c>
      <c r="P1706">
        <v>4</v>
      </c>
      <c r="Q1706">
        <v>0</v>
      </c>
      <c r="R1706">
        <v>28.3</v>
      </c>
      <c r="S1706">
        <v>0</v>
      </c>
      <c r="T1706">
        <v>0</v>
      </c>
      <c r="U1706">
        <v>0</v>
      </c>
      <c r="V1706">
        <v>0</v>
      </c>
      <c r="X1706">
        <v>28.3</v>
      </c>
    </row>
    <row r="1707" spans="1:24" ht="15">
      <c r="A1707">
        <v>1700</v>
      </c>
      <c r="B1707">
        <v>102097</v>
      </c>
      <c r="C1707" t="s">
        <v>765</v>
      </c>
      <c r="D1707" t="s">
        <v>17</v>
      </c>
      <c r="E1707" t="s">
        <v>20</v>
      </c>
      <c r="F1707" t="str">
        <f>"00346306"</f>
        <v>00346306</v>
      </c>
      <c r="G1707">
        <v>17.3</v>
      </c>
      <c r="H1707">
        <v>0</v>
      </c>
      <c r="I1707">
        <v>0</v>
      </c>
      <c r="J1707">
        <v>0</v>
      </c>
      <c r="K1707">
        <v>0</v>
      </c>
      <c r="L1707">
        <v>7</v>
      </c>
      <c r="O1707">
        <v>7</v>
      </c>
      <c r="P1707">
        <v>4</v>
      </c>
      <c r="Q1707">
        <v>0</v>
      </c>
      <c r="R1707">
        <v>28.3</v>
      </c>
      <c r="S1707">
        <v>0</v>
      </c>
      <c r="T1707">
        <v>0</v>
      </c>
      <c r="U1707">
        <v>0</v>
      </c>
      <c r="V1707">
        <v>0</v>
      </c>
      <c r="X1707">
        <v>28.3</v>
      </c>
    </row>
    <row r="1708" spans="1:24" ht="15">
      <c r="A1708">
        <v>1701</v>
      </c>
      <c r="B1708">
        <v>87870</v>
      </c>
      <c r="C1708" t="s">
        <v>1791</v>
      </c>
      <c r="D1708" t="s">
        <v>27</v>
      </c>
      <c r="E1708" t="s">
        <v>60</v>
      </c>
      <c r="F1708" t="str">
        <f>"00641291"</f>
        <v>00641291</v>
      </c>
      <c r="G1708">
        <v>15.2</v>
      </c>
      <c r="H1708">
        <v>0</v>
      </c>
      <c r="I1708">
        <v>0</v>
      </c>
      <c r="J1708">
        <v>0</v>
      </c>
      <c r="K1708">
        <v>0</v>
      </c>
      <c r="N1708">
        <v>3</v>
      </c>
      <c r="O1708">
        <v>3</v>
      </c>
      <c r="P1708">
        <v>4</v>
      </c>
      <c r="Q1708">
        <v>0</v>
      </c>
      <c r="R1708">
        <v>22.2</v>
      </c>
      <c r="S1708">
        <v>0</v>
      </c>
      <c r="T1708">
        <v>0</v>
      </c>
      <c r="U1708">
        <v>6</v>
      </c>
      <c r="V1708">
        <v>0</v>
      </c>
      <c r="X1708">
        <v>28.2</v>
      </c>
    </row>
    <row r="1709" spans="1:24" ht="15">
      <c r="A1709">
        <v>1702</v>
      </c>
      <c r="B1709">
        <v>38387</v>
      </c>
      <c r="C1709" t="s">
        <v>1792</v>
      </c>
      <c r="D1709" t="s">
        <v>35</v>
      </c>
      <c r="E1709" t="s">
        <v>27</v>
      </c>
      <c r="F1709" t="str">
        <f>"00322195"</f>
        <v>00322195</v>
      </c>
      <c r="G1709">
        <v>17.2</v>
      </c>
      <c r="H1709">
        <v>0</v>
      </c>
      <c r="I1709">
        <v>0</v>
      </c>
      <c r="J1709">
        <v>0</v>
      </c>
      <c r="K1709">
        <v>0</v>
      </c>
      <c r="L1709">
        <v>7</v>
      </c>
      <c r="O1709">
        <v>7</v>
      </c>
      <c r="P1709">
        <v>4</v>
      </c>
      <c r="Q1709">
        <v>0</v>
      </c>
      <c r="R1709">
        <v>28.2</v>
      </c>
      <c r="S1709">
        <v>0</v>
      </c>
      <c r="T1709">
        <v>0</v>
      </c>
      <c r="U1709">
        <v>0</v>
      </c>
      <c r="V1709">
        <v>0</v>
      </c>
      <c r="X1709">
        <v>28.2</v>
      </c>
    </row>
    <row r="1710" spans="1:24" ht="15">
      <c r="A1710">
        <v>1703</v>
      </c>
      <c r="B1710">
        <v>72276</v>
      </c>
      <c r="C1710" t="s">
        <v>1795</v>
      </c>
      <c r="D1710" t="s">
        <v>397</v>
      </c>
      <c r="E1710" t="s">
        <v>1796</v>
      </c>
      <c r="F1710" t="str">
        <f>"00622391"</f>
        <v>00622391</v>
      </c>
      <c r="G1710">
        <v>17.15</v>
      </c>
      <c r="H1710">
        <v>0</v>
      </c>
      <c r="I1710">
        <v>0</v>
      </c>
      <c r="J1710">
        <v>0</v>
      </c>
      <c r="K1710">
        <v>0</v>
      </c>
      <c r="L1710">
        <v>7</v>
      </c>
      <c r="O1710">
        <v>7</v>
      </c>
      <c r="P1710">
        <v>4</v>
      </c>
      <c r="Q1710">
        <v>0</v>
      </c>
      <c r="R1710">
        <v>28.15</v>
      </c>
      <c r="S1710">
        <v>0</v>
      </c>
      <c r="T1710">
        <v>0</v>
      </c>
      <c r="U1710">
        <v>0</v>
      </c>
      <c r="V1710">
        <v>0</v>
      </c>
      <c r="X1710">
        <v>28.15</v>
      </c>
    </row>
    <row r="1711" spans="1:24" ht="15">
      <c r="A1711">
        <v>1704</v>
      </c>
      <c r="B1711">
        <v>109249</v>
      </c>
      <c r="C1711" t="s">
        <v>1800</v>
      </c>
      <c r="D1711" t="s">
        <v>1289</v>
      </c>
      <c r="E1711" t="s">
        <v>1801</v>
      </c>
      <c r="F1711" t="str">
        <f>"00127040"</f>
        <v>00127040</v>
      </c>
      <c r="G1711">
        <v>16.08</v>
      </c>
      <c r="H1711">
        <v>0</v>
      </c>
      <c r="I1711">
        <v>0</v>
      </c>
      <c r="J1711">
        <v>0</v>
      </c>
      <c r="K1711">
        <v>0</v>
      </c>
      <c r="O1711">
        <v>0</v>
      </c>
      <c r="P1711">
        <v>4</v>
      </c>
      <c r="Q1711">
        <v>0</v>
      </c>
      <c r="R1711">
        <v>20.08</v>
      </c>
      <c r="S1711">
        <v>2</v>
      </c>
      <c r="T1711">
        <v>2</v>
      </c>
      <c r="U1711">
        <v>6</v>
      </c>
      <c r="V1711">
        <v>0</v>
      </c>
      <c r="X1711">
        <v>28.08</v>
      </c>
    </row>
    <row r="1712" spans="1:24" ht="15">
      <c r="A1712">
        <v>1705</v>
      </c>
      <c r="B1712">
        <v>61955</v>
      </c>
      <c r="C1712" t="s">
        <v>1802</v>
      </c>
      <c r="D1712" t="s">
        <v>196</v>
      </c>
      <c r="E1712" t="s">
        <v>148</v>
      </c>
      <c r="F1712" t="str">
        <f>"00233670"</f>
        <v>00233670</v>
      </c>
      <c r="G1712">
        <v>15</v>
      </c>
      <c r="H1712">
        <v>0</v>
      </c>
      <c r="I1712">
        <v>0</v>
      </c>
      <c r="J1712">
        <v>0</v>
      </c>
      <c r="K1712">
        <v>0</v>
      </c>
      <c r="N1712">
        <v>3</v>
      </c>
      <c r="O1712">
        <v>3</v>
      </c>
      <c r="P1712">
        <v>4</v>
      </c>
      <c r="Q1712">
        <v>0</v>
      </c>
      <c r="R1712">
        <v>22</v>
      </c>
      <c r="S1712">
        <v>0</v>
      </c>
      <c r="T1712">
        <v>0</v>
      </c>
      <c r="U1712">
        <v>6</v>
      </c>
      <c r="V1712">
        <v>0</v>
      </c>
      <c r="X1712">
        <v>28</v>
      </c>
    </row>
    <row r="1713" spans="1:24" ht="15">
      <c r="A1713">
        <v>1706</v>
      </c>
      <c r="B1713">
        <v>27692</v>
      </c>
      <c r="C1713" t="s">
        <v>1803</v>
      </c>
      <c r="D1713" t="s">
        <v>474</v>
      </c>
      <c r="E1713" t="s">
        <v>12</v>
      </c>
      <c r="F1713" t="str">
        <f>"00331755"</f>
        <v>00331755</v>
      </c>
      <c r="G1713">
        <v>15</v>
      </c>
      <c r="H1713">
        <v>0</v>
      </c>
      <c r="I1713">
        <v>0</v>
      </c>
      <c r="J1713">
        <v>0</v>
      </c>
      <c r="K1713">
        <v>0</v>
      </c>
      <c r="N1713">
        <v>3</v>
      </c>
      <c r="O1713">
        <v>3</v>
      </c>
      <c r="P1713">
        <v>4</v>
      </c>
      <c r="Q1713">
        <v>0</v>
      </c>
      <c r="R1713">
        <v>22</v>
      </c>
      <c r="S1713">
        <v>0</v>
      </c>
      <c r="T1713">
        <v>0</v>
      </c>
      <c r="U1713">
        <v>6</v>
      </c>
      <c r="V1713">
        <v>0</v>
      </c>
      <c r="X1713">
        <v>28</v>
      </c>
    </row>
    <row r="1714" spans="1:24" ht="15">
      <c r="A1714">
        <v>1707</v>
      </c>
      <c r="B1714">
        <v>57302</v>
      </c>
      <c r="C1714" t="s">
        <v>1809</v>
      </c>
      <c r="D1714" t="s">
        <v>124</v>
      </c>
      <c r="E1714" t="s">
        <v>12</v>
      </c>
      <c r="F1714" t="str">
        <f>"00342526"</f>
        <v>00342526</v>
      </c>
      <c r="G1714">
        <v>17.95</v>
      </c>
      <c r="H1714">
        <v>0</v>
      </c>
      <c r="I1714">
        <v>0</v>
      </c>
      <c r="J1714">
        <v>0</v>
      </c>
      <c r="K1714">
        <v>0</v>
      </c>
      <c r="L1714">
        <v>7</v>
      </c>
      <c r="N1714">
        <v>3</v>
      </c>
      <c r="O1714">
        <v>10</v>
      </c>
      <c r="P1714">
        <v>0</v>
      </c>
      <c r="Q1714">
        <v>0</v>
      </c>
      <c r="R1714">
        <v>27.95</v>
      </c>
      <c r="S1714">
        <v>0</v>
      </c>
      <c r="T1714">
        <v>0</v>
      </c>
      <c r="U1714">
        <v>0</v>
      </c>
      <c r="V1714">
        <v>0</v>
      </c>
      <c r="X1714">
        <v>27.95</v>
      </c>
    </row>
    <row r="1715" spans="1:24" ht="15">
      <c r="A1715">
        <v>1708</v>
      </c>
      <c r="B1715">
        <v>91349</v>
      </c>
      <c r="C1715" t="s">
        <v>754</v>
      </c>
      <c r="D1715" t="s">
        <v>928</v>
      </c>
      <c r="E1715" t="s">
        <v>20</v>
      </c>
      <c r="F1715" t="str">
        <f>"00538823"</f>
        <v>00538823</v>
      </c>
      <c r="G1715">
        <v>14.83</v>
      </c>
      <c r="H1715">
        <v>0</v>
      </c>
      <c r="I1715">
        <v>0</v>
      </c>
      <c r="J1715">
        <v>0</v>
      </c>
      <c r="K1715">
        <v>0</v>
      </c>
      <c r="N1715">
        <v>3</v>
      </c>
      <c r="O1715">
        <v>3</v>
      </c>
      <c r="P1715">
        <v>4</v>
      </c>
      <c r="Q1715">
        <v>0</v>
      </c>
      <c r="R1715">
        <v>21.83</v>
      </c>
      <c r="S1715">
        <v>0</v>
      </c>
      <c r="T1715">
        <v>0</v>
      </c>
      <c r="U1715">
        <v>6</v>
      </c>
      <c r="V1715">
        <v>0</v>
      </c>
      <c r="X1715">
        <v>27.83</v>
      </c>
    </row>
    <row r="1716" spans="1:24" ht="15">
      <c r="A1716">
        <v>1709</v>
      </c>
      <c r="B1716">
        <v>88746</v>
      </c>
      <c r="C1716" t="s">
        <v>1815</v>
      </c>
      <c r="D1716" t="s">
        <v>746</v>
      </c>
      <c r="E1716" t="s">
        <v>27</v>
      </c>
      <c r="F1716" t="str">
        <f>"00633129"</f>
        <v>00633129</v>
      </c>
      <c r="G1716">
        <v>20.8</v>
      </c>
      <c r="H1716">
        <v>0</v>
      </c>
      <c r="I1716">
        <v>0</v>
      </c>
      <c r="J1716">
        <v>0</v>
      </c>
      <c r="K1716">
        <v>0</v>
      </c>
      <c r="L1716">
        <v>7</v>
      </c>
      <c r="O1716">
        <v>7</v>
      </c>
      <c r="P1716">
        <v>0</v>
      </c>
      <c r="Q1716">
        <v>0</v>
      </c>
      <c r="R1716">
        <v>27.8</v>
      </c>
      <c r="S1716">
        <v>0</v>
      </c>
      <c r="T1716">
        <v>0</v>
      </c>
      <c r="U1716">
        <v>0</v>
      </c>
      <c r="V1716">
        <v>0</v>
      </c>
      <c r="X1716">
        <v>27.8</v>
      </c>
    </row>
    <row r="1717" spans="1:24" ht="15">
      <c r="A1717">
        <v>1710</v>
      </c>
      <c r="B1717">
        <v>53547</v>
      </c>
      <c r="C1717" t="s">
        <v>1108</v>
      </c>
      <c r="D1717" t="s">
        <v>1816</v>
      </c>
      <c r="E1717" t="s">
        <v>1479</v>
      </c>
      <c r="F1717" t="str">
        <f>"00538890"</f>
        <v>00538890</v>
      </c>
      <c r="G1717">
        <v>14.78</v>
      </c>
      <c r="H1717">
        <v>0</v>
      </c>
      <c r="I1717">
        <v>0</v>
      </c>
      <c r="J1717">
        <v>0</v>
      </c>
      <c r="K1717">
        <v>0</v>
      </c>
      <c r="N1717">
        <v>6</v>
      </c>
      <c r="O1717">
        <v>6</v>
      </c>
      <c r="P1717">
        <v>4</v>
      </c>
      <c r="Q1717">
        <v>0</v>
      </c>
      <c r="R1717">
        <v>24.78</v>
      </c>
      <c r="S1717">
        <v>0</v>
      </c>
      <c r="T1717">
        <v>0</v>
      </c>
      <c r="U1717">
        <v>3</v>
      </c>
      <c r="V1717">
        <v>0</v>
      </c>
      <c r="X1717">
        <v>27.78</v>
      </c>
    </row>
    <row r="1718" spans="1:24" ht="15">
      <c r="A1718">
        <v>1711</v>
      </c>
      <c r="B1718">
        <v>86688</v>
      </c>
      <c r="C1718" t="s">
        <v>1091</v>
      </c>
      <c r="D1718" t="s">
        <v>442</v>
      </c>
      <c r="E1718" t="s">
        <v>124</v>
      </c>
      <c r="F1718" t="str">
        <f>"00550086"</f>
        <v>00550086</v>
      </c>
      <c r="G1718">
        <v>16.75</v>
      </c>
      <c r="H1718">
        <v>0</v>
      </c>
      <c r="I1718">
        <v>0</v>
      </c>
      <c r="J1718">
        <v>0</v>
      </c>
      <c r="K1718">
        <v>0</v>
      </c>
      <c r="L1718">
        <v>7</v>
      </c>
      <c r="O1718">
        <v>7</v>
      </c>
      <c r="P1718">
        <v>4</v>
      </c>
      <c r="Q1718">
        <v>0</v>
      </c>
      <c r="R1718">
        <v>27.75</v>
      </c>
      <c r="S1718">
        <v>0</v>
      </c>
      <c r="T1718">
        <v>0</v>
      </c>
      <c r="U1718">
        <v>0</v>
      </c>
      <c r="V1718">
        <v>0</v>
      </c>
      <c r="X1718">
        <v>27.75</v>
      </c>
    </row>
    <row r="1719" spans="1:24" ht="15">
      <c r="A1719">
        <v>1712</v>
      </c>
      <c r="B1719">
        <v>87942</v>
      </c>
      <c r="C1719" t="s">
        <v>1817</v>
      </c>
      <c r="D1719" t="s">
        <v>962</v>
      </c>
      <c r="E1719" t="s">
        <v>23</v>
      </c>
      <c r="F1719" t="str">
        <f>"00641405"</f>
        <v>00641405</v>
      </c>
      <c r="G1719">
        <v>17.73</v>
      </c>
      <c r="H1719">
        <v>0</v>
      </c>
      <c r="I1719">
        <v>0</v>
      </c>
      <c r="J1719">
        <v>0</v>
      </c>
      <c r="K1719">
        <v>0</v>
      </c>
      <c r="O1719">
        <v>0</v>
      </c>
      <c r="P1719">
        <v>4</v>
      </c>
      <c r="Q1719">
        <v>0</v>
      </c>
      <c r="R1719">
        <v>21.73</v>
      </c>
      <c r="S1719">
        <v>0</v>
      </c>
      <c r="T1719">
        <v>0</v>
      </c>
      <c r="U1719">
        <v>6</v>
      </c>
      <c r="V1719">
        <v>0</v>
      </c>
      <c r="X1719">
        <v>27.73</v>
      </c>
    </row>
    <row r="1720" spans="1:24" ht="15">
      <c r="A1720">
        <v>1713</v>
      </c>
      <c r="B1720">
        <v>30367</v>
      </c>
      <c r="C1720" t="s">
        <v>1818</v>
      </c>
      <c r="D1720" t="s">
        <v>78</v>
      </c>
      <c r="E1720" t="s">
        <v>20</v>
      </c>
      <c r="F1720" t="str">
        <f>"00246638"</f>
        <v>00246638</v>
      </c>
      <c r="G1720">
        <v>16.73</v>
      </c>
      <c r="H1720">
        <v>0</v>
      </c>
      <c r="I1720">
        <v>0</v>
      </c>
      <c r="J1720">
        <v>0</v>
      </c>
      <c r="K1720">
        <v>0</v>
      </c>
      <c r="L1720">
        <v>7</v>
      </c>
      <c r="O1720">
        <v>7</v>
      </c>
      <c r="P1720">
        <v>4</v>
      </c>
      <c r="Q1720">
        <v>0</v>
      </c>
      <c r="R1720">
        <v>27.73</v>
      </c>
      <c r="S1720">
        <v>0</v>
      </c>
      <c r="T1720">
        <v>0</v>
      </c>
      <c r="U1720">
        <v>0</v>
      </c>
      <c r="V1720">
        <v>0</v>
      </c>
      <c r="X1720">
        <v>27.73</v>
      </c>
    </row>
    <row r="1721" spans="1:24" ht="15">
      <c r="A1721">
        <v>1714</v>
      </c>
      <c r="B1721">
        <v>81260</v>
      </c>
      <c r="C1721" t="s">
        <v>1820</v>
      </c>
      <c r="D1721" t="s">
        <v>41</v>
      </c>
      <c r="E1721" t="s">
        <v>601</v>
      </c>
      <c r="F1721" t="str">
        <f>"00344931"</f>
        <v>00344931</v>
      </c>
      <c r="G1721">
        <v>17.65</v>
      </c>
      <c r="H1721">
        <v>0</v>
      </c>
      <c r="I1721">
        <v>0</v>
      </c>
      <c r="J1721">
        <v>0</v>
      </c>
      <c r="K1721">
        <v>0</v>
      </c>
      <c r="M1721">
        <v>5</v>
      </c>
      <c r="O1721">
        <v>5</v>
      </c>
      <c r="P1721">
        <v>0</v>
      </c>
      <c r="Q1721">
        <v>2</v>
      </c>
      <c r="R1721">
        <v>24.65</v>
      </c>
      <c r="S1721">
        <v>0</v>
      </c>
      <c r="T1721">
        <v>0</v>
      </c>
      <c r="U1721">
        <v>3</v>
      </c>
      <c r="V1721">
        <v>0</v>
      </c>
      <c r="X1721">
        <v>27.65</v>
      </c>
    </row>
    <row r="1722" spans="1:24" ht="15">
      <c r="A1722">
        <v>1715</v>
      </c>
      <c r="B1722">
        <v>74397</v>
      </c>
      <c r="C1722" t="s">
        <v>1823</v>
      </c>
      <c r="D1722" t="s">
        <v>21</v>
      </c>
      <c r="E1722" t="s">
        <v>111</v>
      </c>
      <c r="F1722" t="str">
        <f>"201511014685"</f>
        <v>201511014685</v>
      </c>
      <c r="G1722">
        <v>16.6</v>
      </c>
      <c r="H1722">
        <v>7</v>
      </c>
      <c r="I1722">
        <v>0</v>
      </c>
      <c r="J1722">
        <v>0</v>
      </c>
      <c r="K1722">
        <v>0</v>
      </c>
      <c r="O1722">
        <v>0</v>
      </c>
      <c r="P1722">
        <v>4</v>
      </c>
      <c r="Q1722">
        <v>0</v>
      </c>
      <c r="R1722">
        <v>27.6</v>
      </c>
      <c r="S1722">
        <v>0</v>
      </c>
      <c r="T1722">
        <v>0</v>
      </c>
      <c r="U1722">
        <v>0</v>
      </c>
      <c r="V1722">
        <v>0</v>
      </c>
      <c r="X1722">
        <v>27.6</v>
      </c>
    </row>
    <row r="1723" spans="1:24" ht="15">
      <c r="A1723">
        <v>1716</v>
      </c>
      <c r="B1723">
        <v>19815</v>
      </c>
      <c r="C1723" t="s">
        <v>1827</v>
      </c>
      <c r="D1723" t="s">
        <v>1828</v>
      </c>
      <c r="E1723" t="s">
        <v>1247</v>
      </c>
      <c r="F1723" t="str">
        <f>"00212903"</f>
        <v>00212903</v>
      </c>
      <c r="G1723">
        <v>17.58</v>
      </c>
      <c r="H1723">
        <v>0</v>
      </c>
      <c r="I1723">
        <v>0</v>
      </c>
      <c r="J1723">
        <v>0</v>
      </c>
      <c r="K1723">
        <v>0</v>
      </c>
      <c r="O1723">
        <v>0</v>
      </c>
      <c r="P1723">
        <v>4</v>
      </c>
      <c r="Q1723">
        <v>0</v>
      </c>
      <c r="R1723">
        <v>21.58</v>
      </c>
      <c r="S1723">
        <v>0</v>
      </c>
      <c r="T1723">
        <v>0</v>
      </c>
      <c r="U1723">
        <v>6</v>
      </c>
      <c r="V1723">
        <v>0</v>
      </c>
      <c r="X1723">
        <v>27.58</v>
      </c>
    </row>
    <row r="1724" spans="1:24" ht="15">
      <c r="A1724">
        <v>1717</v>
      </c>
      <c r="B1724">
        <v>93637</v>
      </c>
      <c r="C1724" t="s">
        <v>1831</v>
      </c>
      <c r="D1724" t="s">
        <v>90</v>
      </c>
      <c r="E1724" t="s">
        <v>53</v>
      </c>
      <c r="F1724" t="str">
        <f>"00291066"</f>
        <v>00291066</v>
      </c>
      <c r="G1724">
        <v>17.5</v>
      </c>
      <c r="H1724">
        <v>0</v>
      </c>
      <c r="I1724">
        <v>0</v>
      </c>
      <c r="J1724">
        <v>0</v>
      </c>
      <c r="K1724">
        <v>0</v>
      </c>
      <c r="O1724">
        <v>0</v>
      </c>
      <c r="P1724">
        <v>4</v>
      </c>
      <c r="Q1724">
        <v>0</v>
      </c>
      <c r="R1724">
        <v>21.5</v>
      </c>
      <c r="S1724">
        <v>0</v>
      </c>
      <c r="T1724">
        <v>0</v>
      </c>
      <c r="U1724">
        <v>6</v>
      </c>
      <c r="V1724">
        <v>0</v>
      </c>
      <c r="X1724">
        <v>27.5</v>
      </c>
    </row>
    <row r="1725" spans="1:24" ht="15">
      <c r="A1725">
        <v>1718</v>
      </c>
      <c r="B1725">
        <v>79805</v>
      </c>
      <c r="C1725" t="s">
        <v>1832</v>
      </c>
      <c r="D1725" t="s">
        <v>305</v>
      </c>
      <c r="E1725" t="s">
        <v>30</v>
      </c>
      <c r="F1725" t="str">
        <f>"00358607"</f>
        <v>00358607</v>
      </c>
      <c r="G1725">
        <v>14.5</v>
      </c>
      <c r="H1725">
        <v>0</v>
      </c>
      <c r="I1725">
        <v>0</v>
      </c>
      <c r="J1725">
        <v>0</v>
      </c>
      <c r="K1725">
        <v>0</v>
      </c>
      <c r="N1725">
        <v>3</v>
      </c>
      <c r="O1725">
        <v>3</v>
      </c>
      <c r="P1725">
        <v>4</v>
      </c>
      <c r="Q1725">
        <v>0</v>
      </c>
      <c r="R1725">
        <v>21.5</v>
      </c>
      <c r="S1725">
        <v>0</v>
      </c>
      <c r="T1725">
        <v>0</v>
      </c>
      <c r="U1725">
        <v>6</v>
      </c>
      <c r="V1725">
        <v>0</v>
      </c>
      <c r="X1725">
        <v>27.5</v>
      </c>
    </row>
    <row r="1726" spans="1:24" ht="15">
      <c r="A1726">
        <v>1719</v>
      </c>
      <c r="B1726">
        <v>51494</v>
      </c>
      <c r="C1726" t="s">
        <v>1833</v>
      </c>
      <c r="D1726" t="s">
        <v>75</v>
      </c>
      <c r="E1726" t="s">
        <v>30</v>
      </c>
      <c r="F1726" t="str">
        <f>"00103862"</f>
        <v>00103862</v>
      </c>
      <c r="G1726">
        <v>14.5</v>
      </c>
      <c r="H1726">
        <v>0</v>
      </c>
      <c r="I1726">
        <v>0</v>
      </c>
      <c r="J1726">
        <v>0</v>
      </c>
      <c r="K1726">
        <v>0</v>
      </c>
      <c r="N1726">
        <v>3</v>
      </c>
      <c r="O1726">
        <v>3</v>
      </c>
      <c r="P1726">
        <v>4</v>
      </c>
      <c r="Q1726">
        <v>0</v>
      </c>
      <c r="R1726">
        <v>21.5</v>
      </c>
      <c r="S1726">
        <v>0</v>
      </c>
      <c r="T1726">
        <v>0</v>
      </c>
      <c r="U1726">
        <v>6</v>
      </c>
      <c r="V1726">
        <v>0</v>
      </c>
      <c r="X1726">
        <v>27.5</v>
      </c>
    </row>
    <row r="1727" spans="1:24" ht="15">
      <c r="A1727">
        <v>1720</v>
      </c>
      <c r="B1727">
        <v>89542</v>
      </c>
      <c r="C1727" t="s">
        <v>1834</v>
      </c>
      <c r="D1727" t="s">
        <v>12</v>
      </c>
      <c r="E1727" t="s">
        <v>148</v>
      </c>
      <c r="F1727" t="str">
        <f>"00328034"</f>
        <v>00328034</v>
      </c>
      <c r="G1727">
        <v>17.5</v>
      </c>
      <c r="H1727">
        <v>0</v>
      </c>
      <c r="I1727">
        <v>0</v>
      </c>
      <c r="J1727">
        <v>0</v>
      </c>
      <c r="K1727">
        <v>0</v>
      </c>
      <c r="N1727">
        <v>3</v>
      </c>
      <c r="O1727">
        <v>3</v>
      </c>
      <c r="P1727">
        <v>4</v>
      </c>
      <c r="Q1727">
        <v>0</v>
      </c>
      <c r="R1727">
        <v>24.5</v>
      </c>
      <c r="S1727">
        <v>0</v>
      </c>
      <c r="T1727">
        <v>0</v>
      </c>
      <c r="U1727">
        <v>3</v>
      </c>
      <c r="V1727">
        <v>0</v>
      </c>
      <c r="X1727">
        <v>27.5</v>
      </c>
    </row>
    <row r="1728" spans="1:24" ht="15">
      <c r="A1728">
        <v>1721</v>
      </c>
      <c r="B1728">
        <v>68715</v>
      </c>
      <c r="C1728" t="s">
        <v>1835</v>
      </c>
      <c r="D1728" t="s">
        <v>873</v>
      </c>
      <c r="E1728" t="s">
        <v>289</v>
      </c>
      <c r="F1728" t="str">
        <f>"00512570"</f>
        <v>00512570</v>
      </c>
      <c r="G1728">
        <v>17.5</v>
      </c>
      <c r="H1728">
        <v>0</v>
      </c>
      <c r="I1728">
        <v>0</v>
      </c>
      <c r="J1728">
        <v>0</v>
      </c>
      <c r="K1728">
        <v>0</v>
      </c>
      <c r="N1728">
        <v>6</v>
      </c>
      <c r="O1728">
        <v>6</v>
      </c>
      <c r="P1728">
        <v>4</v>
      </c>
      <c r="Q1728">
        <v>0</v>
      </c>
      <c r="R1728">
        <v>27.5</v>
      </c>
      <c r="S1728">
        <v>0</v>
      </c>
      <c r="T1728">
        <v>0</v>
      </c>
      <c r="U1728">
        <v>0</v>
      </c>
      <c r="V1728">
        <v>0</v>
      </c>
      <c r="X1728">
        <v>27.5</v>
      </c>
    </row>
    <row r="1729" spans="1:24" ht="15">
      <c r="A1729">
        <v>1722</v>
      </c>
      <c r="B1729">
        <v>40751</v>
      </c>
      <c r="C1729" t="s">
        <v>1837</v>
      </c>
      <c r="D1729" t="s">
        <v>375</v>
      </c>
      <c r="E1729" t="s">
        <v>23</v>
      </c>
      <c r="F1729" t="str">
        <f>"00007243"</f>
        <v>00007243</v>
      </c>
      <c r="G1729">
        <v>16.5</v>
      </c>
      <c r="H1729">
        <v>0</v>
      </c>
      <c r="I1729">
        <v>0</v>
      </c>
      <c r="J1729">
        <v>0</v>
      </c>
      <c r="K1729">
        <v>0</v>
      </c>
      <c r="L1729">
        <v>7</v>
      </c>
      <c r="O1729">
        <v>7</v>
      </c>
      <c r="P1729">
        <v>4</v>
      </c>
      <c r="Q1729">
        <v>0</v>
      </c>
      <c r="R1729">
        <v>27.5</v>
      </c>
      <c r="S1729">
        <v>0</v>
      </c>
      <c r="T1729">
        <v>0</v>
      </c>
      <c r="U1729">
        <v>0</v>
      </c>
      <c r="V1729">
        <v>0</v>
      </c>
      <c r="X1729">
        <v>27.5</v>
      </c>
    </row>
    <row r="1730" spans="1:24" ht="15">
      <c r="A1730">
        <v>1723</v>
      </c>
      <c r="B1730">
        <v>74946</v>
      </c>
      <c r="C1730" t="s">
        <v>1838</v>
      </c>
      <c r="D1730" t="s">
        <v>16</v>
      </c>
      <c r="E1730" t="s">
        <v>30</v>
      </c>
      <c r="F1730" t="str">
        <f>"00644074"</f>
        <v>00644074</v>
      </c>
      <c r="G1730">
        <v>14.48</v>
      </c>
      <c r="H1730">
        <v>0</v>
      </c>
      <c r="I1730">
        <v>0</v>
      </c>
      <c r="J1730">
        <v>0</v>
      </c>
      <c r="K1730">
        <v>0</v>
      </c>
      <c r="N1730">
        <v>3</v>
      </c>
      <c r="O1730">
        <v>3</v>
      </c>
      <c r="P1730">
        <v>4</v>
      </c>
      <c r="Q1730">
        <v>0</v>
      </c>
      <c r="R1730">
        <v>21.48</v>
      </c>
      <c r="S1730">
        <v>0</v>
      </c>
      <c r="T1730">
        <v>0</v>
      </c>
      <c r="U1730">
        <v>6</v>
      </c>
      <c r="V1730">
        <v>0</v>
      </c>
      <c r="X1730">
        <v>27.48</v>
      </c>
    </row>
    <row r="1731" spans="1:24" ht="15">
      <c r="A1731">
        <v>1724</v>
      </c>
      <c r="B1731">
        <v>82912</v>
      </c>
      <c r="C1731" t="s">
        <v>1841</v>
      </c>
      <c r="D1731" t="s">
        <v>153</v>
      </c>
      <c r="E1731" t="s">
        <v>12</v>
      </c>
      <c r="F1731" t="str">
        <f>"00228007"</f>
        <v>00228007</v>
      </c>
      <c r="G1731">
        <v>17.45</v>
      </c>
      <c r="H1731">
        <v>0</v>
      </c>
      <c r="I1731">
        <v>0</v>
      </c>
      <c r="J1731">
        <v>0</v>
      </c>
      <c r="K1731">
        <v>0</v>
      </c>
      <c r="N1731">
        <v>3</v>
      </c>
      <c r="O1731">
        <v>3</v>
      </c>
      <c r="P1731">
        <v>4</v>
      </c>
      <c r="Q1731">
        <v>0</v>
      </c>
      <c r="R1731">
        <v>24.45</v>
      </c>
      <c r="S1731">
        <v>0</v>
      </c>
      <c r="T1731">
        <v>0</v>
      </c>
      <c r="U1731">
        <v>3</v>
      </c>
      <c r="V1731">
        <v>0</v>
      </c>
      <c r="X1731">
        <v>27.45</v>
      </c>
    </row>
    <row r="1732" spans="1:24" ht="15">
      <c r="A1732">
        <v>1725</v>
      </c>
      <c r="B1732">
        <v>99892</v>
      </c>
      <c r="C1732" t="s">
        <v>1849</v>
      </c>
      <c r="D1732" t="s">
        <v>17</v>
      </c>
      <c r="E1732" t="s">
        <v>1850</v>
      </c>
      <c r="F1732" t="str">
        <f>"00558035"</f>
        <v>00558035</v>
      </c>
      <c r="G1732">
        <v>17.28</v>
      </c>
      <c r="H1732">
        <v>0</v>
      </c>
      <c r="I1732">
        <v>0</v>
      </c>
      <c r="J1732">
        <v>0</v>
      </c>
      <c r="K1732">
        <v>0</v>
      </c>
      <c r="O1732">
        <v>0</v>
      </c>
      <c r="P1732">
        <v>4</v>
      </c>
      <c r="Q1732">
        <v>0</v>
      </c>
      <c r="R1732">
        <v>21.28</v>
      </c>
      <c r="S1732">
        <v>0</v>
      </c>
      <c r="T1732">
        <v>0</v>
      </c>
      <c r="U1732">
        <v>6</v>
      </c>
      <c r="V1732">
        <v>0</v>
      </c>
      <c r="X1732">
        <v>27.28</v>
      </c>
    </row>
    <row r="1733" spans="1:24" ht="15">
      <c r="A1733">
        <v>1726</v>
      </c>
      <c r="B1733">
        <v>85709</v>
      </c>
      <c r="C1733" t="s">
        <v>1856</v>
      </c>
      <c r="D1733" t="s">
        <v>60</v>
      </c>
      <c r="E1733" t="s">
        <v>20</v>
      </c>
      <c r="F1733" t="str">
        <f>"00311889"</f>
        <v>00311889</v>
      </c>
      <c r="G1733">
        <v>16.23</v>
      </c>
      <c r="H1733">
        <v>0</v>
      </c>
      <c r="I1733">
        <v>0</v>
      </c>
      <c r="J1733">
        <v>0</v>
      </c>
      <c r="K1733">
        <v>0</v>
      </c>
      <c r="L1733">
        <v>7</v>
      </c>
      <c r="O1733">
        <v>7</v>
      </c>
      <c r="P1733">
        <v>4</v>
      </c>
      <c r="Q1733">
        <v>0</v>
      </c>
      <c r="R1733">
        <v>27.23</v>
      </c>
      <c r="S1733">
        <v>0</v>
      </c>
      <c r="T1733">
        <v>0</v>
      </c>
      <c r="U1733">
        <v>0</v>
      </c>
      <c r="V1733">
        <v>0</v>
      </c>
      <c r="X1733">
        <v>27.23</v>
      </c>
    </row>
    <row r="1734" spans="1:24" ht="15">
      <c r="A1734">
        <v>1727</v>
      </c>
      <c r="B1734">
        <v>19233</v>
      </c>
      <c r="C1734" t="s">
        <v>1857</v>
      </c>
      <c r="D1734" t="s">
        <v>1858</v>
      </c>
      <c r="E1734" t="s">
        <v>12</v>
      </c>
      <c r="F1734" t="str">
        <f>"00526282"</f>
        <v>00526282</v>
      </c>
      <c r="G1734">
        <v>17.2</v>
      </c>
      <c r="H1734">
        <v>0</v>
      </c>
      <c r="I1734">
        <v>0</v>
      </c>
      <c r="J1734">
        <v>0</v>
      </c>
      <c r="K1734">
        <v>0</v>
      </c>
      <c r="N1734">
        <v>3</v>
      </c>
      <c r="O1734">
        <v>3</v>
      </c>
      <c r="P1734">
        <v>4</v>
      </c>
      <c r="Q1734">
        <v>0</v>
      </c>
      <c r="R1734">
        <v>24.2</v>
      </c>
      <c r="S1734">
        <v>0</v>
      </c>
      <c r="T1734">
        <v>0</v>
      </c>
      <c r="U1734">
        <v>3</v>
      </c>
      <c r="V1734">
        <v>0</v>
      </c>
      <c r="X1734">
        <v>27.2</v>
      </c>
    </row>
    <row r="1735" spans="1:24" ht="15">
      <c r="A1735">
        <v>1728</v>
      </c>
      <c r="B1735">
        <v>88620</v>
      </c>
      <c r="C1735" t="s">
        <v>1860</v>
      </c>
      <c r="D1735" t="s">
        <v>76</v>
      </c>
      <c r="E1735" t="s">
        <v>120</v>
      </c>
      <c r="F1735" t="str">
        <f>"201406009793"</f>
        <v>201406009793</v>
      </c>
      <c r="G1735">
        <v>16.18</v>
      </c>
      <c r="H1735">
        <v>0</v>
      </c>
      <c r="I1735">
        <v>0</v>
      </c>
      <c r="J1735">
        <v>0</v>
      </c>
      <c r="K1735">
        <v>0</v>
      </c>
      <c r="L1735">
        <v>7</v>
      </c>
      <c r="O1735">
        <v>7</v>
      </c>
      <c r="P1735">
        <v>4</v>
      </c>
      <c r="Q1735">
        <v>0</v>
      </c>
      <c r="R1735">
        <v>27.18</v>
      </c>
      <c r="S1735">
        <v>0</v>
      </c>
      <c r="T1735">
        <v>0</v>
      </c>
      <c r="U1735">
        <v>0</v>
      </c>
      <c r="V1735">
        <v>0</v>
      </c>
      <c r="X1735">
        <v>27.18</v>
      </c>
    </row>
    <row r="1736" spans="1:24" ht="15">
      <c r="A1736">
        <v>1729</v>
      </c>
      <c r="B1736">
        <v>45491</v>
      </c>
      <c r="C1736" t="s">
        <v>605</v>
      </c>
      <c r="D1736" t="s">
        <v>27</v>
      </c>
      <c r="E1736" t="s">
        <v>288</v>
      </c>
      <c r="F1736" t="str">
        <f>"200712005243"</f>
        <v>200712005243</v>
      </c>
      <c r="G1736">
        <v>14.13</v>
      </c>
      <c r="H1736">
        <v>0</v>
      </c>
      <c r="I1736">
        <v>0</v>
      </c>
      <c r="J1736">
        <v>0</v>
      </c>
      <c r="K1736">
        <v>0</v>
      </c>
      <c r="N1736">
        <v>3</v>
      </c>
      <c r="O1736">
        <v>3</v>
      </c>
      <c r="P1736">
        <v>4</v>
      </c>
      <c r="Q1736">
        <v>0</v>
      </c>
      <c r="R1736">
        <v>21.13</v>
      </c>
      <c r="S1736">
        <v>0</v>
      </c>
      <c r="T1736">
        <v>0</v>
      </c>
      <c r="U1736">
        <v>6</v>
      </c>
      <c r="V1736">
        <v>0</v>
      </c>
      <c r="X1736">
        <v>27.13</v>
      </c>
    </row>
    <row r="1737" spans="1:24" ht="15">
      <c r="A1737">
        <v>1730</v>
      </c>
      <c r="B1737">
        <v>26076</v>
      </c>
      <c r="C1737" t="s">
        <v>1863</v>
      </c>
      <c r="D1737" t="s">
        <v>236</v>
      </c>
      <c r="E1737" t="s">
        <v>113</v>
      </c>
      <c r="F1737" t="str">
        <f>"00625668"</f>
        <v>00625668</v>
      </c>
      <c r="G1737">
        <v>17.1</v>
      </c>
      <c r="H1737">
        <v>0</v>
      </c>
      <c r="I1737">
        <v>0</v>
      </c>
      <c r="J1737">
        <v>0</v>
      </c>
      <c r="K1737">
        <v>0</v>
      </c>
      <c r="N1737">
        <v>3</v>
      </c>
      <c r="O1737">
        <v>3</v>
      </c>
      <c r="P1737">
        <v>4</v>
      </c>
      <c r="Q1737">
        <v>0</v>
      </c>
      <c r="R1737">
        <v>24.1</v>
      </c>
      <c r="S1737">
        <v>0</v>
      </c>
      <c r="T1737">
        <v>0</v>
      </c>
      <c r="U1737">
        <v>3</v>
      </c>
      <c r="V1737">
        <v>0</v>
      </c>
      <c r="X1737">
        <v>27.1</v>
      </c>
    </row>
    <row r="1738" spans="1:24" ht="15">
      <c r="A1738">
        <v>1731</v>
      </c>
      <c r="B1738">
        <v>23560</v>
      </c>
      <c r="C1738" t="s">
        <v>267</v>
      </c>
      <c r="D1738" t="s">
        <v>875</v>
      </c>
      <c r="E1738" t="s">
        <v>30</v>
      </c>
      <c r="F1738" t="str">
        <f>"00603775"</f>
        <v>00603775</v>
      </c>
      <c r="G1738">
        <v>17</v>
      </c>
      <c r="H1738">
        <v>0</v>
      </c>
      <c r="I1738">
        <v>0</v>
      </c>
      <c r="J1738">
        <v>0</v>
      </c>
      <c r="K1738">
        <v>0</v>
      </c>
      <c r="O1738">
        <v>0</v>
      </c>
      <c r="P1738">
        <v>4</v>
      </c>
      <c r="Q1738">
        <v>0</v>
      </c>
      <c r="R1738">
        <v>21</v>
      </c>
      <c r="S1738">
        <v>0</v>
      </c>
      <c r="T1738">
        <v>0</v>
      </c>
      <c r="U1738">
        <v>6</v>
      </c>
      <c r="V1738">
        <v>0</v>
      </c>
      <c r="X1738">
        <v>27</v>
      </c>
    </row>
    <row r="1739" spans="1:24" ht="15">
      <c r="A1739">
        <v>1732</v>
      </c>
      <c r="B1739">
        <v>54020</v>
      </c>
      <c r="C1739" t="s">
        <v>481</v>
      </c>
      <c r="D1739" t="s">
        <v>928</v>
      </c>
      <c r="E1739" t="s">
        <v>155</v>
      </c>
      <c r="F1739" t="str">
        <f>"00616369"</f>
        <v>00616369</v>
      </c>
      <c r="G1739">
        <v>19.95</v>
      </c>
      <c r="H1739">
        <v>0</v>
      </c>
      <c r="I1739">
        <v>0</v>
      </c>
      <c r="J1739">
        <v>0</v>
      </c>
      <c r="K1739">
        <v>0</v>
      </c>
      <c r="L1739">
        <v>7</v>
      </c>
      <c r="O1739">
        <v>7</v>
      </c>
      <c r="P1739">
        <v>0</v>
      </c>
      <c r="Q1739">
        <v>0</v>
      </c>
      <c r="R1739">
        <v>26.95</v>
      </c>
      <c r="S1739">
        <v>0</v>
      </c>
      <c r="T1739">
        <v>0</v>
      </c>
      <c r="U1739">
        <v>0</v>
      </c>
      <c r="V1739">
        <v>0</v>
      </c>
      <c r="X1739">
        <v>26.95</v>
      </c>
    </row>
    <row r="1740" spans="1:24" ht="15">
      <c r="A1740">
        <v>1733</v>
      </c>
      <c r="B1740">
        <v>25316</v>
      </c>
      <c r="C1740" t="s">
        <v>1867</v>
      </c>
      <c r="D1740" t="s">
        <v>173</v>
      </c>
      <c r="E1740" t="s">
        <v>1211</v>
      </c>
      <c r="F1740" t="str">
        <f>"00605471"</f>
        <v>00605471</v>
      </c>
      <c r="G1740">
        <v>15.93</v>
      </c>
      <c r="H1740">
        <v>0</v>
      </c>
      <c r="I1740">
        <v>0</v>
      </c>
      <c r="J1740">
        <v>0</v>
      </c>
      <c r="K1740">
        <v>0</v>
      </c>
      <c r="L1740">
        <v>7</v>
      </c>
      <c r="O1740">
        <v>7</v>
      </c>
      <c r="P1740">
        <v>4</v>
      </c>
      <c r="Q1740">
        <v>0</v>
      </c>
      <c r="R1740">
        <v>26.93</v>
      </c>
      <c r="S1740">
        <v>0</v>
      </c>
      <c r="T1740">
        <v>0</v>
      </c>
      <c r="U1740">
        <v>0</v>
      </c>
      <c r="V1740">
        <v>0</v>
      </c>
      <c r="X1740">
        <v>26.93</v>
      </c>
    </row>
    <row r="1741" spans="1:24" ht="15">
      <c r="A1741">
        <v>1734</v>
      </c>
      <c r="B1741">
        <v>52720</v>
      </c>
      <c r="C1741" t="s">
        <v>1875</v>
      </c>
      <c r="D1741" t="s">
        <v>1533</v>
      </c>
      <c r="E1741" t="s">
        <v>148</v>
      </c>
      <c r="F1741" t="str">
        <f>"201002000070"</f>
        <v>201002000070</v>
      </c>
      <c r="G1741">
        <v>15.75</v>
      </c>
      <c r="H1741">
        <v>7</v>
      </c>
      <c r="I1741">
        <v>0</v>
      </c>
      <c r="J1741">
        <v>0</v>
      </c>
      <c r="K1741">
        <v>0</v>
      </c>
      <c r="O1741">
        <v>0</v>
      </c>
      <c r="P1741">
        <v>4</v>
      </c>
      <c r="Q1741">
        <v>0</v>
      </c>
      <c r="R1741">
        <v>26.75</v>
      </c>
      <c r="S1741">
        <v>0</v>
      </c>
      <c r="T1741">
        <v>0</v>
      </c>
      <c r="U1741">
        <v>0</v>
      </c>
      <c r="V1741">
        <v>0</v>
      </c>
      <c r="X1741">
        <v>26.75</v>
      </c>
    </row>
    <row r="1742" spans="1:24" ht="15">
      <c r="A1742">
        <v>1735</v>
      </c>
      <c r="B1742">
        <v>94857</v>
      </c>
      <c r="C1742" t="s">
        <v>586</v>
      </c>
      <c r="D1742" t="s">
        <v>591</v>
      </c>
      <c r="E1742" t="s">
        <v>23</v>
      </c>
      <c r="F1742" t="str">
        <f>"00621936"</f>
        <v>00621936</v>
      </c>
      <c r="G1742">
        <v>16.68</v>
      </c>
      <c r="H1742">
        <v>0</v>
      </c>
      <c r="I1742">
        <v>0</v>
      </c>
      <c r="J1742">
        <v>0</v>
      </c>
      <c r="K1742">
        <v>0</v>
      </c>
      <c r="N1742">
        <v>3</v>
      </c>
      <c r="O1742">
        <v>3</v>
      </c>
      <c r="P1742">
        <v>4</v>
      </c>
      <c r="Q1742">
        <v>0</v>
      </c>
      <c r="R1742">
        <v>23.68</v>
      </c>
      <c r="S1742">
        <v>0</v>
      </c>
      <c r="T1742">
        <v>0</v>
      </c>
      <c r="U1742">
        <v>3</v>
      </c>
      <c r="V1742">
        <v>0</v>
      </c>
      <c r="X1742">
        <v>26.68</v>
      </c>
    </row>
    <row r="1743" spans="1:24" ht="15">
      <c r="A1743">
        <v>1736</v>
      </c>
      <c r="B1743">
        <v>84665</v>
      </c>
      <c r="C1743" t="s">
        <v>1157</v>
      </c>
      <c r="D1743" t="s">
        <v>44</v>
      </c>
      <c r="E1743" t="s">
        <v>139</v>
      </c>
      <c r="F1743" t="str">
        <f>"201511010833"</f>
        <v>201511010833</v>
      </c>
      <c r="G1743">
        <v>15.68</v>
      </c>
      <c r="H1743">
        <v>0</v>
      </c>
      <c r="I1743">
        <v>0</v>
      </c>
      <c r="J1743">
        <v>0</v>
      </c>
      <c r="K1743">
        <v>0</v>
      </c>
      <c r="L1743">
        <v>7</v>
      </c>
      <c r="O1743">
        <v>7</v>
      </c>
      <c r="P1743">
        <v>4</v>
      </c>
      <c r="Q1743">
        <v>0</v>
      </c>
      <c r="R1743">
        <v>26.68</v>
      </c>
      <c r="S1743">
        <v>0</v>
      </c>
      <c r="T1743">
        <v>0</v>
      </c>
      <c r="U1743">
        <v>0</v>
      </c>
      <c r="V1743">
        <v>0</v>
      </c>
      <c r="X1743">
        <v>26.68</v>
      </c>
    </row>
    <row r="1744" spans="1:24" ht="15">
      <c r="A1744">
        <v>1737</v>
      </c>
      <c r="B1744">
        <v>79985</v>
      </c>
      <c r="C1744" t="s">
        <v>1881</v>
      </c>
      <c r="D1744" t="s">
        <v>965</v>
      </c>
      <c r="E1744" t="s">
        <v>17</v>
      </c>
      <c r="F1744" t="str">
        <f>"00010121"</f>
        <v>00010121</v>
      </c>
      <c r="G1744">
        <v>16.65</v>
      </c>
      <c r="H1744">
        <v>0</v>
      </c>
      <c r="I1744">
        <v>0</v>
      </c>
      <c r="J1744">
        <v>0</v>
      </c>
      <c r="K1744">
        <v>0</v>
      </c>
      <c r="O1744">
        <v>0</v>
      </c>
      <c r="P1744">
        <v>4</v>
      </c>
      <c r="Q1744">
        <v>0</v>
      </c>
      <c r="R1744">
        <v>20.65</v>
      </c>
      <c r="S1744">
        <v>0</v>
      </c>
      <c r="T1744">
        <v>0</v>
      </c>
      <c r="U1744">
        <v>6</v>
      </c>
      <c r="V1744">
        <v>0</v>
      </c>
      <c r="X1744">
        <v>26.65</v>
      </c>
    </row>
    <row r="1745" spans="1:24" ht="15">
      <c r="A1745">
        <v>1738</v>
      </c>
      <c r="B1745">
        <v>13729</v>
      </c>
      <c r="C1745" t="s">
        <v>1882</v>
      </c>
      <c r="D1745" t="s">
        <v>120</v>
      </c>
      <c r="E1745" t="s">
        <v>288</v>
      </c>
      <c r="F1745" t="str">
        <f>"00576978"</f>
        <v>00576978</v>
      </c>
      <c r="G1745">
        <v>19.6</v>
      </c>
      <c r="H1745">
        <v>0</v>
      </c>
      <c r="I1745">
        <v>0</v>
      </c>
      <c r="J1745">
        <v>0</v>
      </c>
      <c r="K1745">
        <v>0</v>
      </c>
      <c r="L1745">
        <v>7</v>
      </c>
      <c r="O1745">
        <v>7</v>
      </c>
      <c r="P1745">
        <v>0</v>
      </c>
      <c r="Q1745">
        <v>0</v>
      </c>
      <c r="R1745">
        <v>26.6</v>
      </c>
      <c r="S1745">
        <v>0</v>
      </c>
      <c r="T1745">
        <v>0</v>
      </c>
      <c r="U1745">
        <v>0</v>
      </c>
      <c r="V1745">
        <v>0</v>
      </c>
      <c r="X1745">
        <v>26.6</v>
      </c>
    </row>
    <row r="1746" spans="1:24" ht="15">
      <c r="A1746">
        <v>1739</v>
      </c>
      <c r="B1746">
        <v>78560</v>
      </c>
      <c r="C1746" t="s">
        <v>1885</v>
      </c>
      <c r="D1746" t="s">
        <v>12</v>
      </c>
      <c r="E1746" t="s">
        <v>21</v>
      </c>
      <c r="F1746" t="str">
        <f>"00369666"</f>
        <v>00369666</v>
      </c>
      <c r="G1746">
        <v>16.5</v>
      </c>
      <c r="H1746">
        <v>0</v>
      </c>
      <c r="I1746">
        <v>0</v>
      </c>
      <c r="J1746">
        <v>0</v>
      </c>
      <c r="K1746">
        <v>0</v>
      </c>
      <c r="N1746">
        <v>3</v>
      </c>
      <c r="O1746">
        <v>3</v>
      </c>
      <c r="P1746">
        <v>4</v>
      </c>
      <c r="Q1746">
        <v>0</v>
      </c>
      <c r="R1746">
        <v>23.5</v>
      </c>
      <c r="S1746">
        <v>0</v>
      </c>
      <c r="T1746">
        <v>0</v>
      </c>
      <c r="U1746">
        <v>3</v>
      </c>
      <c r="V1746">
        <v>0</v>
      </c>
      <c r="X1746">
        <v>26.5</v>
      </c>
    </row>
    <row r="1747" spans="1:24" ht="15">
      <c r="A1747">
        <v>1740</v>
      </c>
      <c r="B1747">
        <v>87563</v>
      </c>
      <c r="C1747" t="s">
        <v>1886</v>
      </c>
      <c r="D1747" t="s">
        <v>1658</v>
      </c>
      <c r="E1747" t="s">
        <v>23</v>
      </c>
      <c r="F1747" t="str">
        <f>"00642013"</f>
        <v>00642013</v>
      </c>
      <c r="G1747">
        <v>15.5</v>
      </c>
      <c r="H1747">
        <v>0</v>
      </c>
      <c r="I1747">
        <v>0</v>
      </c>
      <c r="J1747">
        <v>0</v>
      </c>
      <c r="K1747">
        <v>0</v>
      </c>
      <c r="L1747">
        <v>7</v>
      </c>
      <c r="O1747">
        <v>7</v>
      </c>
      <c r="P1747">
        <v>4</v>
      </c>
      <c r="Q1747">
        <v>0</v>
      </c>
      <c r="R1747">
        <v>26.5</v>
      </c>
      <c r="S1747">
        <v>0</v>
      </c>
      <c r="T1747">
        <v>0</v>
      </c>
      <c r="U1747">
        <v>0</v>
      </c>
      <c r="V1747">
        <v>0</v>
      </c>
      <c r="X1747">
        <v>26.5</v>
      </c>
    </row>
    <row r="1748" spans="1:24" ht="15">
      <c r="A1748">
        <v>1741</v>
      </c>
      <c r="B1748">
        <v>53794</v>
      </c>
      <c r="C1748" t="s">
        <v>1888</v>
      </c>
      <c r="D1748" t="s">
        <v>1889</v>
      </c>
      <c r="E1748" t="s">
        <v>23</v>
      </c>
      <c r="F1748" t="str">
        <f>"00459212"</f>
        <v>00459212</v>
      </c>
      <c r="G1748">
        <v>17.48</v>
      </c>
      <c r="H1748">
        <v>0</v>
      </c>
      <c r="I1748">
        <v>0</v>
      </c>
      <c r="J1748">
        <v>0</v>
      </c>
      <c r="K1748">
        <v>0</v>
      </c>
      <c r="M1748">
        <v>5</v>
      </c>
      <c r="O1748">
        <v>5</v>
      </c>
      <c r="P1748">
        <v>4</v>
      </c>
      <c r="Q1748">
        <v>0</v>
      </c>
      <c r="R1748">
        <v>26.48</v>
      </c>
      <c r="S1748">
        <v>0</v>
      </c>
      <c r="T1748">
        <v>0</v>
      </c>
      <c r="U1748">
        <v>0</v>
      </c>
      <c r="V1748">
        <v>0</v>
      </c>
      <c r="X1748">
        <v>26.48</v>
      </c>
    </row>
    <row r="1749" spans="1:24" ht="15">
      <c r="A1749">
        <v>1742</v>
      </c>
      <c r="B1749">
        <v>105617</v>
      </c>
      <c r="C1749" t="s">
        <v>1890</v>
      </c>
      <c r="D1749" t="s">
        <v>29</v>
      </c>
      <c r="E1749" t="s">
        <v>27</v>
      </c>
      <c r="F1749" t="str">
        <f>"00151337"</f>
        <v>00151337</v>
      </c>
      <c r="G1749">
        <v>16.45</v>
      </c>
      <c r="H1749">
        <v>0</v>
      </c>
      <c r="I1749">
        <v>0</v>
      </c>
      <c r="J1749">
        <v>0</v>
      </c>
      <c r="K1749">
        <v>0</v>
      </c>
      <c r="N1749">
        <v>3</v>
      </c>
      <c r="O1749">
        <v>3</v>
      </c>
      <c r="P1749">
        <v>4</v>
      </c>
      <c r="Q1749">
        <v>0</v>
      </c>
      <c r="R1749">
        <v>23.45</v>
      </c>
      <c r="S1749">
        <v>0</v>
      </c>
      <c r="T1749">
        <v>0</v>
      </c>
      <c r="U1749">
        <v>3</v>
      </c>
      <c r="V1749">
        <v>0</v>
      </c>
      <c r="X1749">
        <v>26.45</v>
      </c>
    </row>
    <row r="1750" spans="1:24" ht="15">
      <c r="A1750">
        <v>1743</v>
      </c>
      <c r="B1750">
        <v>82419</v>
      </c>
      <c r="C1750" t="s">
        <v>1891</v>
      </c>
      <c r="D1750" t="s">
        <v>1039</v>
      </c>
      <c r="E1750" t="s">
        <v>124</v>
      </c>
      <c r="F1750" t="str">
        <f>"201504002731"</f>
        <v>201504002731</v>
      </c>
      <c r="G1750">
        <v>16.43</v>
      </c>
      <c r="H1750">
        <v>0</v>
      </c>
      <c r="I1750">
        <v>0</v>
      </c>
      <c r="J1750">
        <v>0</v>
      </c>
      <c r="K1750">
        <v>0</v>
      </c>
      <c r="N1750">
        <v>3</v>
      </c>
      <c r="O1750">
        <v>3</v>
      </c>
      <c r="P1750">
        <v>4</v>
      </c>
      <c r="Q1750">
        <v>0</v>
      </c>
      <c r="R1750">
        <v>23.43</v>
      </c>
      <c r="S1750">
        <v>0</v>
      </c>
      <c r="T1750">
        <v>0</v>
      </c>
      <c r="U1750">
        <v>3</v>
      </c>
      <c r="V1750">
        <v>0</v>
      </c>
      <c r="X1750">
        <v>26.43</v>
      </c>
    </row>
    <row r="1751" spans="1:24" ht="15">
      <c r="A1751">
        <v>1744</v>
      </c>
      <c r="B1751">
        <v>108411</v>
      </c>
      <c r="C1751" t="s">
        <v>923</v>
      </c>
      <c r="D1751" t="s">
        <v>442</v>
      </c>
      <c r="E1751" t="s">
        <v>135</v>
      </c>
      <c r="F1751" t="str">
        <f>"00510364"</f>
        <v>00510364</v>
      </c>
      <c r="G1751">
        <v>15.38</v>
      </c>
      <c r="H1751">
        <v>0</v>
      </c>
      <c r="I1751">
        <v>0</v>
      </c>
      <c r="J1751">
        <v>0</v>
      </c>
      <c r="K1751">
        <v>0</v>
      </c>
      <c r="L1751">
        <v>7</v>
      </c>
      <c r="O1751">
        <v>7</v>
      </c>
      <c r="P1751">
        <v>4</v>
      </c>
      <c r="Q1751">
        <v>0</v>
      </c>
      <c r="R1751">
        <v>26.38</v>
      </c>
      <c r="S1751">
        <v>0</v>
      </c>
      <c r="T1751">
        <v>0</v>
      </c>
      <c r="U1751">
        <v>0</v>
      </c>
      <c r="V1751">
        <v>0</v>
      </c>
      <c r="X1751">
        <v>26.38</v>
      </c>
    </row>
    <row r="1752" spans="1:24" ht="15">
      <c r="A1752">
        <v>1745</v>
      </c>
      <c r="B1752">
        <v>104984</v>
      </c>
      <c r="C1752" t="s">
        <v>1896</v>
      </c>
      <c r="D1752" t="s">
        <v>151</v>
      </c>
      <c r="E1752" t="s">
        <v>124</v>
      </c>
      <c r="F1752" t="str">
        <f>"00641044"</f>
        <v>00641044</v>
      </c>
      <c r="G1752">
        <v>16.33</v>
      </c>
      <c r="H1752">
        <v>0</v>
      </c>
      <c r="I1752">
        <v>0</v>
      </c>
      <c r="J1752">
        <v>0</v>
      </c>
      <c r="K1752">
        <v>0</v>
      </c>
      <c r="O1752">
        <v>0</v>
      </c>
      <c r="P1752">
        <v>4</v>
      </c>
      <c r="Q1752">
        <v>0</v>
      </c>
      <c r="R1752">
        <v>20.33</v>
      </c>
      <c r="S1752">
        <v>0</v>
      </c>
      <c r="T1752">
        <v>0</v>
      </c>
      <c r="U1752">
        <v>6</v>
      </c>
      <c r="V1752">
        <v>0</v>
      </c>
      <c r="X1752">
        <v>26.33</v>
      </c>
    </row>
    <row r="1753" spans="1:24" ht="15">
      <c r="A1753">
        <v>1746</v>
      </c>
      <c r="B1753">
        <v>90998</v>
      </c>
      <c r="C1753" t="s">
        <v>1900</v>
      </c>
      <c r="D1753" t="s">
        <v>91</v>
      </c>
      <c r="E1753" t="s">
        <v>17</v>
      </c>
      <c r="F1753" t="str">
        <f>"00631266"</f>
        <v>00631266</v>
      </c>
      <c r="G1753">
        <v>22.25</v>
      </c>
      <c r="H1753">
        <v>0</v>
      </c>
      <c r="I1753">
        <v>0</v>
      </c>
      <c r="J1753">
        <v>0</v>
      </c>
      <c r="K1753">
        <v>0</v>
      </c>
      <c r="O1753">
        <v>0</v>
      </c>
      <c r="P1753">
        <v>4</v>
      </c>
      <c r="Q1753">
        <v>0</v>
      </c>
      <c r="R1753">
        <v>26.25</v>
      </c>
      <c r="S1753">
        <v>0</v>
      </c>
      <c r="T1753">
        <v>0</v>
      </c>
      <c r="U1753">
        <v>0</v>
      </c>
      <c r="V1753">
        <v>0</v>
      </c>
      <c r="X1753">
        <v>26.25</v>
      </c>
    </row>
    <row r="1754" spans="1:24" ht="15">
      <c r="A1754">
        <v>1747</v>
      </c>
      <c r="B1754">
        <v>98506</v>
      </c>
      <c r="C1754" t="s">
        <v>1901</v>
      </c>
      <c r="D1754" t="s">
        <v>29</v>
      </c>
      <c r="E1754" t="s">
        <v>53</v>
      </c>
      <c r="F1754" t="str">
        <f>"00525056"</f>
        <v>00525056</v>
      </c>
      <c r="G1754">
        <v>19.23</v>
      </c>
      <c r="H1754">
        <v>0</v>
      </c>
      <c r="I1754">
        <v>0</v>
      </c>
      <c r="J1754">
        <v>0</v>
      </c>
      <c r="K1754">
        <v>0</v>
      </c>
      <c r="O1754">
        <v>0</v>
      </c>
      <c r="P1754">
        <v>4</v>
      </c>
      <c r="Q1754">
        <v>0</v>
      </c>
      <c r="R1754">
        <v>23.23</v>
      </c>
      <c r="S1754">
        <v>0</v>
      </c>
      <c r="T1754">
        <v>0</v>
      </c>
      <c r="U1754">
        <v>3</v>
      </c>
      <c r="V1754">
        <v>0</v>
      </c>
      <c r="X1754">
        <v>26.23</v>
      </c>
    </row>
    <row r="1755" spans="1:24" ht="15">
      <c r="A1755">
        <v>1748</v>
      </c>
      <c r="B1755">
        <v>40190</v>
      </c>
      <c r="C1755" t="s">
        <v>1902</v>
      </c>
      <c r="D1755" t="s">
        <v>1490</v>
      </c>
      <c r="E1755" t="s">
        <v>44</v>
      </c>
      <c r="F1755" t="str">
        <f>"00552561"</f>
        <v>00552561</v>
      </c>
      <c r="G1755">
        <v>19.2</v>
      </c>
      <c r="H1755">
        <v>0</v>
      </c>
      <c r="I1755">
        <v>0</v>
      </c>
      <c r="J1755">
        <v>0</v>
      </c>
      <c r="K1755">
        <v>0</v>
      </c>
      <c r="N1755">
        <v>3</v>
      </c>
      <c r="O1755">
        <v>3</v>
      </c>
      <c r="P1755">
        <v>4</v>
      </c>
      <c r="Q1755">
        <v>0</v>
      </c>
      <c r="R1755">
        <v>26.2</v>
      </c>
      <c r="S1755">
        <v>0</v>
      </c>
      <c r="T1755">
        <v>0</v>
      </c>
      <c r="U1755">
        <v>0</v>
      </c>
      <c r="V1755">
        <v>0</v>
      </c>
      <c r="X1755">
        <v>26.2</v>
      </c>
    </row>
    <row r="1756" spans="1:24" ht="15">
      <c r="A1756">
        <v>1749</v>
      </c>
      <c r="B1756">
        <v>28930</v>
      </c>
      <c r="C1756" t="s">
        <v>1903</v>
      </c>
      <c r="D1756" t="s">
        <v>12</v>
      </c>
      <c r="E1756" t="s">
        <v>30</v>
      </c>
      <c r="F1756" t="str">
        <f>"00343556"</f>
        <v>00343556</v>
      </c>
      <c r="G1756">
        <v>16.18</v>
      </c>
      <c r="H1756">
        <v>0</v>
      </c>
      <c r="I1756">
        <v>0</v>
      </c>
      <c r="J1756">
        <v>0</v>
      </c>
      <c r="K1756">
        <v>0</v>
      </c>
      <c r="N1756">
        <v>3</v>
      </c>
      <c r="O1756">
        <v>3</v>
      </c>
      <c r="P1756">
        <v>4</v>
      </c>
      <c r="Q1756">
        <v>0</v>
      </c>
      <c r="R1756">
        <v>23.18</v>
      </c>
      <c r="S1756">
        <v>0</v>
      </c>
      <c r="T1756">
        <v>0</v>
      </c>
      <c r="U1756">
        <v>3</v>
      </c>
      <c r="V1756">
        <v>0</v>
      </c>
      <c r="X1756">
        <v>26.18</v>
      </c>
    </row>
    <row r="1757" spans="1:24" ht="15">
      <c r="A1757">
        <v>1750</v>
      </c>
      <c r="B1757">
        <v>24625</v>
      </c>
      <c r="C1757" t="s">
        <v>1904</v>
      </c>
      <c r="D1757" t="s">
        <v>122</v>
      </c>
      <c r="E1757" t="s">
        <v>53</v>
      </c>
      <c r="F1757" t="str">
        <f>"00266421"</f>
        <v>00266421</v>
      </c>
      <c r="G1757">
        <v>19.18</v>
      </c>
      <c r="H1757">
        <v>0</v>
      </c>
      <c r="I1757">
        <v>0</v>
      </c>
      <c r="J1757">
        <v>0</v>
      </c>
      <c r="K1757">
        <v>0</v>
      </c>
      <c r="N1757">
        <v>3</v>
      </c>
      <c r="O1757">
        <v>3</v>
      </c>
      <c r="P1757">
        <v>4</v>
      </c>
      <c r="Q1757">
        <v>0</v>
      </c>
      <c r="R1757">
        <v>26.18</v>
      </c>
      <c r="S1757">
        <v>0</v>
      </c>
      <c r="T1757">
        <v>0</v>
      </c>
      <c r="U1757">
        <v>0</v>
      </c>
      <c r="V1757">
        <v>0</v>
      </c>
      <c r="X1757">
        <v>26.18</v>
      </c>
    </row>
    <row r="1758" spans="1:24" ht="15">
      <c r="A1758">
        <v>1751</v>
      </c>
      <c r="B1758">
        <v>24574</v>
      </c>
      <c r="C1758" t="s">
        <v>1905</v>
      </c>
      <c r="D1758" t="s">
        <v>316</v>
      </c>
      <c r="E1758" t="s">
        <v>124</v>
      </c>
      <c r="F1758" t="str">
        <f>"00467670"</f>
        <v>00467670</v>
      </c>
      <c r="G1758">
        <v>16.18</v>
      </c>
      <c r="H1758">
        <v>0</v>
      </c>
      <c r="I1758">
        <v>0</v>
      </c>
      <c r="J1758">
        <v>0</v>
      </c>
      <c r="K1758">
        <v>0</v>
      </c>
      <c r="N1758">
        <v>6</v>
      </c>
      <c r="O1758">
        <v>6</v>
      </c>
      <c r="P1758">
        <v>4</v>
      </c>
      <c r="Q1758">
        <v>0</v>
      </c>
      <c r="R1758">
        <v>26.18</v>
      </c>
      <c r="S1758">
        <v>0</v>
      </c>
      <c r="T1758">
        <v>0</v>
      </c>
      <c r="U1758">
        <v>0</v>
      </c>
      <c r="V1758">
        <v>0</v>
      </c>
      <c r="X1758">
        <v>26.18</v>
      </c>
    </row>
    <row r="1759" spans="1:24" ht="15">
      <c r="A1759">
        <v>1752</v>
      </c>
      <c r="B1759">
        <v>106206</v>
      </c>
      <c r="C1759" t="s">
        <v>1912</v>
      </c>
      <c r="D1759" t="s">
        <v>50</v>
      </c>
      <c r="E1759" t="s">
        <v>83</v>
      </c>
      <c r="F1759" t="str">
        <f>"00642049"</f>
        <v>00642049</v>
      </c>
      <c r="G1759">
        <v>16.1</v>
      </c>
      <c r="H1759">
        <v>0</v>
      </c>
      <c r="I1759">
        <v>0</v>
      </c>
      <c r="J1759">
        <v>0</v>
      </c>
      <c r="K1759">
        <v>0</v>
      </c>
      <c r="N1759">
        <v>3</v>
      </c>
      <c r="O1759">
        <v>3</v>
      </c>
      <c r="P1759">
        <v>4</v>
      </c>
      <c r="Q1759">
        <v>0</v>
      </c>
      <c r="R1759">
        <v>23.1</v>
      </c>
      <c r="S1759">
        <v>0</v>
      </c>
      <c r="T1759">
        <v>0</v>
      </c>
      <c r="U1759">
        <v>3</v>
      </c>
      <c r="V1759">
        <v>0</v>
      </c>
      <c r="X1759">
        <v>26.1</v>
      </c>
    </row>
    <row r="1760" spans="1:24" ht="15">
      <c r="A1760">
        <v>1753</v>
      </c>
      <c r="B1760">
        <v>28189</v>
      </c>
      <c r="C1760" t="s">
        <v>1919</v>
      </c>
      <c r="D1760" t="s">
        <v>23</v>
      </c>
      <c r="E1760" t="s">
        <v>21</v>
      </c>
      <c r="F1760" t="str">
        <f>"00617164"</f>
        <v>00617164</v>
      </c>
      <c r="G1760">
        <v>18.95</v>
      </c>
      <c r="H1760">
        <v>0</v>
      </c>
      <c r="I1760">
        <v>0</v>
      </c>
      <c r="J1760">
        <v>0</v>
      </c>
      <c r="K1760">
        <v>0</v>
      </c>
      <c r="O1760">
        <v>0</v>
      </c>
      <c r="P1760">
        <v>4</v>
      </c>
      <c r="Q1760">
        <v>0</v>
      </c>
      <c r="R1760">
        <v>22.95</v>
      </c>
      <c r="S1760">
        <v>0</v>
      </c>
      <c r="T1760">
        <v>0</v>
      </c>
      <c r="U1760">
        <v>3</v>
      </c>
      <c r="V1760">
        <v>0</v>
      </c>
      <c r="X1760">
        <v>25.95</v>
      </c>
    </row>
    <row r="1761" spans="1:24" ht="15">
      <c r="A1761">
        <v>1754</v>
      </c>
      <c r="B1761">
        <v>75407</v>
      </c>
      <c r="C1761" t="s">
        <v>1499</v>
      </c>
      <c r="D1761" t="s">
        <v>558</v>
      </c>
      <c r="E1761" t="s">
        <v>56</v>
      </c>
      <c r="F1761" t="str">
        <f>"201304004515"</f>
        <v>201304004515</v>
      </c>
      <c r="G1761">
        <v>16.95</v>
      </c>
      <c r="H1761">
        <v>0</v>
      </c>
      <c r="I1761">
        <v>0</v>
      </c>
      <c r="J1761">
        <v>0</v>
      </c>
      <c r="K1761">
        <v>0</v>
      </c>
      <c r="N1761">
        <v>3</v>
      </c>
      <c r="O1761">
        <v>3</v>
      </c>
      <c r="P1761">
        <v>4</v>
      </c>
      <c r="Q1761">
        <v>2</v>
      </c>
      <c r="R1761">
        <v>25.95</v>
      </c>
      <c r="S1761">
        <v>0</v>
      </c>
      <c r="T1761">
        <v>0</v>
      </c>
      <c r="U1761">
        <v>0</v>
      </c>
      <c r="V1761">
        <v>0</v>
      </c>
      <c r="X1761">
        <v>25.95</v>
      </c>
    </row>
    <row r="1762" spans="1:24" ht="15">
      <c r="A1762">
        <v>1755</v>
      </c>
      <c r="B1762">
        <v>91534</v>
      </c>
      <c r="C1762" t="s">
        <v>1924</v>
      </c>
      <c r="D1762" t="s">
        <v>928</v>
      </c>
      <c r="E1762" t="s">
        <v>148</v>
      </c>
      <c r="F1762" t="str">
        <f>"00635339"</f>
        <v>00635339</v>
      </c>
      <c r="G1762">
        <v>18.85</v>
      </c>
      <c r="H1762">
        <v>0</v>
      </c>
      <c r="I1762">
        <v>0</v>
      </c>
      <c r="J1762">
        <v>0</v>
      </c>
      <c r="K1762">
        <v>0</v>
      </c>
      <c r="N1762">
        <v>3</v>
      </c>
      <c r="O1762">
        <v>3</v>
      </c>
      <c r="P1762">
        <v>4</v>
      </c>
      <c r="Q1762">
        <v>0</v>
      </c>
      <c r="R1762">
        <v>25.85</v>
      </c>
      <c r="S1762">
        <v>0</v>
      </c>
      <c r="T1762">
        <v>0</v>
      </c>
      <c r="U1762">
        <v>0</v>
      </c>
      <c r="V1762">
        <v>0</v>
      </c>
      <c r="X1762">
        <v>25.85</v>
      </c>
    </row>
    <row r="1763" spans="1:24" ht="15">
      <c r="A1763">
        <v>1756</v>
      </c>
      <c r="B1763">
        <v>80443</v>
      </c>
      <c r="C1763" t="s">
        <v>1926</v>
      </c>
      <c r="D1763" t="s">
        <v>122</v>
      </c>
      <c r="E1763" t="s">
        <v>106</v>
      </c>
      <c r="F1763" t="str">
        <f>"00565986"</f>
        <v>00565986</v>
      </c>
      <c r="G1763">
        <v>15.8</v>
      </c>
      <c r="H1763">
        <v>0</v>
      </c>
      <c r="I1763">
        <v>0</v>
      </c>
      <c r="J1763">
        <v>0</v>
      </c>
      <c r="K1763">
        <v>0</v>
      </c>
      <c r="N1763">
        <v>3</v>
      </c>
      <c r="O1763">
        <v>3</v>
      </c>
      <c r="P1763">
        <v>4</v>
      </c>
      <c r="Q1763">
        <v>0</v>
      </c>
      <c r="R1763">
        <v>22.8</v>
      </c>
      <c r="S1763">
        <v>0</v>
      </c>
      <c r="T1763">
        <v>0</v>
      </c>
      <c r="U1763">
        <v>3</v>
      </c>
      <c r="V1763">
        <v>0</v>
      </c>
      <c r="X1763">
        <v>25.8</v>
      </c>
    </row>
    <row r="1764" spans="1:24" ht="15">
      <c r="A1764">
        <v>1757</v>
      </c>
      <c r="B1764">
        <v>62645</v>
      </c>
      <c r="C1764" t="s">
        <v>453</v>
      </c>
      <c r="D1764" t="s">
        <v>97</v>
      </c>
      <c r="E1764" t="s">
        <v>17</v>
      </c>
      <c r="F1764" t="str">
        <f>"00615913"</f>
        <v>00615913</v>
      </c>
      <c r="G1764">
        <v>15.78</v>
      </c>
      <c r="H1764">
        <v>0</v>
      </c>
      <c r="I1764">
        <v>0</v>
      </c>
      <c r="J1764">
        <v>0</v>
      </c>
      <c r="K1764">
        <v>0</v>
      </c>
      <c r="N1764">
        <v>3</v>
      </c>
      <c r="O1764">
        <v>3</v>
      </c>
      <c r="P1764">
        <v>4</v>
      </c>
      <c r="Q1764">
        <v>0</v>
      </c>
      <c r="R1764">
        <v>22.78</v>
      </c>
      <c r="S1764">
        <v>0</v>
      </c>
      <c r="T1764">
        <v>0</v>
      </c>
      <c r="U1764">
        <v>3</v>
      </c>
      <c r="V1764">
        <v>0</v>
      </c>
      <c r="X1764">
        <v>25.78</v>
      </c>
    </row>
    <row r="1765" spans="1:24" ht="15">
      <c r="A1765">
        <v>1758</v>
      </c>
      <c r="B1765">
        <v>94108</v>
      </c>
      <c r="C1765" t="s">
        <v>1928</v>
      </c>
      <c r="D1765" t="s">
        <v>75</v>
      </c>
      <c r="E1765" t="s">
        <v>30</v>
      </c>
      <c r="F1765" t="str">
        <f>"00198602"</f>
        <v>00198602</v>
      </c>
      <c r="G1765">
        <v>15.75</v>
      </c>
      <c r="H1765">
        <v>0</v>
      </c>
      <c r="I1765">
        <v>0</v>
      </c>
      <c r="J1765">
        <v>0</v>
      </c>
      <c r="K1765">
        <v>0</v>
      </c>
      <c r="O1765">
        <v>0</v>
      </c>
      <c r="P1765">
        <v>4</v>
      </c>
      <c r="Q1765">
        <v>0</v>
      </c>
      <c r="R1765">
        <v>19.75</v>
      </c>
      <c r="S1765">
        <v>0</v>
      </c>
      <c r="T1765">
        <v>0</v>
      </c>
      <c r="U1765">
        <v>6</v>
      </c>
      <c r="V1765">
        <v>0</v>
      </c>
      <c r="X1765">
        <v>25.75</v>
      </c>
    </row>
    <row r="1766" spans="1:24" ht="15">
      <c r="A1766">
        <v>1759</v>
      </c>
      <c r="B1766">
        <v>696</v>
      </c>
      <c r="C1766" t="s">
        <v>1930</v>
      </c>
      <c r="D1766" t="s">
        <v>46</v>
      </c>
      <c r="E1766" t="s">
        <v>113</v>
      </c>
      <c r="F1766" t="str">
        <f>"00158530"</f>
        <v>00158530</v>
      </c>
      <c r="G1766">
        <v>15.73</v>
      </c>
      <c r="H1766">
        <v>0</v>
      </c>
      <c r="I1766">
        <v>0</v>
      </c>
      <c r="J1766">
        <v>0</v>
      </c>
      <c r="K1766">
        <v>0</v>
      </c>
      <c r="N1766">
        <v>3</v>
      </c>
      <c r="O1766">
        <v>3</v>
      </c>
      <c r="P1766">
        <v>4</v>
      </c>
      <c r="Q1766">
        <v>0</v>
      </c>
      <c r="R1766">
        <v>22.73</v>
      </c>
      <c r="S1766">
        <v>0</v>
      </c>
      <c r="T1766">
        <v>0</v>
      </c>
      <c r="U1766">
        <v>3</v>
      </c>
      <c r="V1766">
        <v>0</v>
      </c>
      <c r="X1766">
        <v>25.73</v>
      </c>
    </row>
    <row r="1767" spans="1:24" ht="15">
      <c r="A1767">
        <v>1760</v>
      </c>
      <c r="B1767">
        <v>63040</v>
      </c>
      <c r="C1767" t="s">
        <v>1934</v>
      </c>
      <c r="D1767" t="s">
        <v>316</v>
      </c>
      <c r="E1767" t="s">
        <v>44</v>
      </c>
      <c r="F1767" t="str">
        <f>"00220546"</f>
        <v>00220546</v>
      </c>
      <c r="G1767">
        <v>15.68</v>
      </c>
      <c r="H1767">
        <v>0</v>
      </c>
      <c r="I1767">
        <v>0</v>
      </c>
      <c r="J1767">
        <v>0</v>
      </c>
      <c r="K1767">
        <v>0</v>
      </c>
      <c r="N1767">
        <v>3</v>
      </c>
      <c r="O1767">
        <v>3</v>
      </c>
      <c r="P1767">
        <v>4</v>
      </c>
      <c r="Q1767">
        <v>0</v>
      </c>
      <c r="R1767">
        <v>22.68</v>
      </c>
      <c r="S1767">
        <v>0</v>
      </c>
      <c r="T1767">
        <v>0</v>
      </c>
      <c r="U1767">
        <v>3</v>
      </c>
      <c r="V1767">
        <v>0</v>
      </c>
      <c r="X1767">
        <v>25.68</v>
      </c>
    </row>
    <row r="1768" spans="1:24" ht="15">
      <c r="A1768">
        <v>1761</v>
      </c>
      <c r="B1768">
        <v>35464</v>
      </c>
      <c r="C1768" t="s">
        <v>1936</v>
      </c>
      <c r="D1768" t="s">
        <v>1937</v>
      </c>
      <c r="E1768" t="s">
        <v>507</v>
      </c>
      <c r="F1768" t="str">
        <f>"00634304"</f>
        <v>00634304</v>
      </c>
      <c r="G1768">
        <v>18.65</v>
      </c>
      <c r="H1768">
        <v>0</v>
      </c>
      <c r="I1768">
        <v>0</v>
      </c>
      <c r="J1768">
        <v>0</v>
      </c>
      <c r="K1768">
        <v>0</v>
      </c>
      <c r="N1768">
        <v>3</v>
      </c>
      <c r="O1768">
        <v>3</v>
      </c>
      <c r="P1768">
        <v>4</v>
      </c>
      <c r="Q1768">
        <v>0</v>
      </c>
      <c r="R1768">
        <v>25.65</v>
      </c>
      <c r="S1768">
        <v>0</v>
      </c>
      <c r="T1768">
        <v>0</v>
      </c>
      <c r="U1768">
        <v>0</v>
      </c>
      <c r="V1768">
        <v>0</v>
      </c>
      <c r="X1768">
        <v>25.65</v>
      </c>
    </row>
    <row r="1769" spans="1:24" ht="15">
      <c r="A1769">
        <v>1762</v>
      </c>
      <c r="B1769">
        <v>2957</v>
      </c>
      <c r="C1769" t="s">
        <v>1938</v>
      </c>
      <c r="D1769" t="s">
        <v>1023</v>
      </c>
      <c r="E1769" t="s">
        <v>1540</v>
      </c>
      <c r="F1769" t="str">
        <f>"00581128"</f>
        <v>00581128</v>
      </c>
      <c r="G1769">
        <v>17.65</v>
      </c>
      <c r="H1769">
        <v>0</v>
      </c>
      <c r="I1769">
        <v>0</v>
      </c>
      <c r="J1769">
        <v>0</v>
      </c>
      <c r="K1769">
        <v>0</v>
      </c>
      <c r="M1769">
        <v>5</v>
      </c>
      <c r="N1769">
        <v>3</v>
      </c>
      <c r="O1769">
        <v>8</v>
      </c>
      <c r="P1769">
        <v>0</v>
      </c>
      <c r="Q1769">
        <v>0</v>
      </c>
      <c r="R1769">
        <v>25.65</v>
      </c>
      <c r="S1769">
        <v>0</v>
      </c>
      <c r="T1769">
        <v>0</v>
      </c>
      <c r="U1769">
        <v>0</v>
      </c>
      <c r="V1769">
        <v>0</v>
      </c>
      <c r="X1769">
        <v>25.65</v>
      </c>
    </row>
    <row r="1770" spans="1:24" ht="15">
      <c r="A1770">
        <v>1763</v>
      </c>
      <c r="B1770">
        <v>104350</v>
      </c>
      <c r="C1770" t="s">
        <v>1199</v>
      </c>
      <c r="D1770" t="s">
        <v>177</v>
      </c>
      <c r="E1770" t="s">
        <v>21</v>
      </c>
      <c r="F1770" t="str">
        <f>"00317999"</f>
        <v>00317999</v>
      </c>
      <c r="G1770">
        <v>15.53</v>
      </c>
      <c r="H1770">
        <v>0</v>
      </c>
      <c r="I1770">
        <v>0</v>
      </c>
      <c r="J1770">
        <v>0</v>
      </c>
      <c r="K1770">
        <v>0</v>
      </c>
      <c r="N1770">
        <v>3</v>
      </c>
      <c r="O1770">
        <v>3</v>
      </c>
      <c r="P1770">
        <v>4</v>
      </c>
      <c r="Q1770">
        <v>0</v>
      </c>
      <c r="R1770">
        <v>22.53</v>
      </c>
      <c r="S1770">
        <v>0</v>
      </c>
      <c r="T1770">
        <v>0</v>
      </c>
      <c r="U1770">
        <v>3</v>
      </c>
      <c r="V1770">
        <v>0</v>
      </c>
      <c r="X1770">
        <v>25.53</v>
      </c>
    </row>
    <row r="1771" spans="1:24" ht="15">
      <c r="A1771">
        <v>1764</v>
      </c>
      <c r="B1771">
        <v>58899</v>
      </c>
      <c r="C1771" t="s">
        <v>1941</v>
      </c>
      <c r="D1771" t="s">
        <v>1942</v>
      </c>
      <c r="E1771" t="s">
        <v>270</v>
      </c>
      <c r="F1771" t="str">
        <f>"00343090"</f>
        <v>00343090</v>
      </c>
      <c r="G1771">
        <v>15.53</v>
      </c>
      <c r="H1771">
        <v>0</v>
      </c>
      <c r="I1771">
        <v>0</v>
      </c>
      <c r="J1771">
        <v>0</v>
      </c>
      <c r="K1771">
        <v>0</v>
      </c>
      <c r="N1771">
        <v>3</v>
      </c>
      <c r="O1771">
        <v>3</v>
      </c>
      <c r="P1771">
        <v>4</v>
      </c>
      <c r="Q1771">
        <v>0</v>
      </c>
      <c r="R1771">
        <v>22.53</v>
      </c>
      <c r="S1771">
        <v>0</v>
      </c>
      <c r="T1771">
        <v>0</v>
      </c>
      <c r="U1771">
        <v>3</v>
      </c>
      <c r="V1771">
        <v>0</v>
      </c>
      <c r="X1771">
        <v>25.53</v>
      </c>
    </row>
    <row r="1772" spans="1:24" ht="15">
      <c r="A1772">
        <v>1765</v>
      </c>
      <c r="B1772">
        <v>110569</v>
      </c>
      <c r="C1772" t="s">
        <v>1946</v>
      </c>
      <c r="D1772" t="s">
        <v>1947</v>
      </c>
      <c r="E1772" t="s">
        <v>21</v>
      </c>
      <c r="F1772" t="str">
        <f>"00623120"</f>
        <v>00623120</v>
      </c>
      <c r="G1772">
        <v>15.5</v>
      </c>
      <c r="H1772">
        <v>0</v>
      </c>
      <c r="I1772">
        <v>0</v>
      </c>
      <c r="J1772">
        <v>0</v>
      </c>
      <c r="K1772">
        <v>0</v>
      </c>
      <c r="N1772">
        <v>6</v>
      </c>
      <c r="O1772">
        <v>6</v>
      </c>
      <c r="P1772">
        <v>4</v>
      </c>
      <c r="Q1772">
        <v>0</v>
      </c>
      <c r="R1772">
        <v>25.5</v>
      </c>
      <c r="S1772">
        <v>0</v>
      </c>
      <c r="T1772">
        <v>0</v>
      </c>
      <c r="U1772">
        <v>0</v>
      </c>
      <c r="V1772">
        <v>0</v>
      </c>
      <c r="X1772">
        <v>25.5</v>
      </c>
    </row>
    <row r="1773" spans="1:24" ht="15">
      <c r="A1773">
        <v>1766</v>
      </c>
      <c r="B1773">
        <v>21141</v>
      </c>
      <c r="C1773" t="s">
        <v>1715</v>
      </c>
      <c r="D1773" t="s">
        <v>808</v>
      </c>
      <c r="E1773" t="s">
        <v>486</v>
      </c>
      <c r="F1773" t="str">
        <f>"00184973"</f>
        <v>00184973</v>
      </c>
      <c r="G1773">
        <v>15.48</v>
      </c>
      <c r="H1773">
        <v>0</v>
      </c>
      <c r="I1773">
        <v>0</v>
      </c>
      <c r="J1773">
        <v>0</v>
      </c>
      <c r="K1773">
        <v>0</v>
      </c>
      <c r="O1773">
        <v>0</v>
      </c>
      <c r="P1773">
        <v>4</v>
      </c>
      <c r="Q1773">
        <v>0</v>
      </c>
      <c r="R1773">
        <v>19.48</v>
      </c>
      <c r="S1773">
        <v>0</v>
      </c>
      <c r="T1773">
        <v>0</v>
      </c>
      <c r="U1773">
        <v>6</v>
      </c>
      <c r="V1773">
        <v>0</v>
      </c>
      <c r="X1773">
        <v>25.48</v>
      </c>
    </row>
    <row r="1774" spans="1:24" ht="15">
      <c r="A1774">
        <v>1767</v>
      </c>
      <c r="B1774">
        <v>64381</v>
      </c>
      <c r="C1774" t="s">
        <v>1948</v>
      </c>
      <c r="D1774" t="s">
        <v>23</v>
      </c>
      <c r="E1774" t="s">
        <v>27</v>
      </c>
      <c r="F1774" t="str">
        <f>"00147208"</f>
        <v>00147208</v>
      </c>
      <c r="G1774">
        <v>15.45</v>
      </c>
      <c r="H1774">
        <v>0</v>
      </c>
      <c r="I1774">
        <v>0</v>
      </c>
      <c r="J1774">
        <v>0</v>
      </c>
      <c r="K1774">
        <v>0</v>
      </c>
      <c r="O1774">
        <v>0</v>
      </c>
      <c r="P1774">
        <v>4</v>
      </c>
      <c r="Q1774">
        <v>0</v>
      </c>
      <c r="R1774">
        <v>19.45</v>
      </c>
      <c r="S1774">
        <v>0</v>
      </c>
      <c r="T1774">
        <v>0</v>
      </c>
      <c r="U1774">
        <v>6</v>
      </c>
      <c r="V1774">
        <v>0</v>
      </c>
      <c r="X1774">
        <v>25.45</v>
      </c>
    </row>
    <row r="1775" spans="1:24" ht="15">
      <c r="A1775">
        <v>1768</v>
      </c>
      <c r="B1775">
        <v>46052</v>
      </c>
      <c r="C1775" t="s">
        <v>1950</v>
      </c>
      <c r="D1775" t="s">
        <v>153</v>
      </c>
      <c r="E1775" t="s">
        <v>27</v>
      </c>
      <c r="F1775" t="str">
        <f>"00617939"</f>
        <v>00617939</v>
      </c>
      <c r="G1775">
        <v>15.4</v>
      </c>
      <c r="H1775">
        <v>0</v>
      </c>
      <c r="I1775">
        <v>0</v>
      </c>
      <c r="J1775">
        <v>0</v>
      </c>
      <c r="K1775">
        <v>0</v>
      </c>
      <c r="N1775">
        <v>3</v>
      </c>
      <c r="O1775">
        <v>3</v>
      </c>
      <c r="P1775">
        <v>4</v>
      </c>
      <c r="Q1775">
        <v>0</v>
      </c>
      <c r="R1775">
        <v>22.4</v>
      </c>
      <c r="S1775">
        <v>0</v>
      </c>
      <c r="T1775">
        <v>0</v>
      </c>
      <c r="U1775">
        <v>3</v>
      </c>
      <c r="V1775">
        <v>0</v>
      </c>
      <c r="X1775">
        <v>25.4</v>
      </c>
    </row>
    <row r="1776" spans="1:24" ht="15">
      <c r="A1776">
        <v>1769</v>
      </c>
      <c r="B1776">
        <v>98397</v>
      </c>
      <c r="C1776" t="s">
        <v>1952</v>
      </c>
      <c r="D1776" t="s">
        <v>46</v>
      </c>
      <c r="E1776" t="s">
        <v>1953</v>
      </c>
      <c r="F1776" t="str">
        <f>"00643539"</f>
        <v>00643539</v>
      </c>
      <c r="G1776">
        <v>21.4</v>
      </c>
      <c r="H1776">
        <v>0</v>
      </c>
      <c r="I1776">
        <v>0</v>
      </c>
      <c r="J1776">
        <v>0</v>
      </c>
      <c r="K1776">
        <v>0</v>
      </c>
      <c r="O1776">
        <v>0</v>
      </c>
      <c r="P1776">
        <v>4</v>
      </c>
      <c r="Q1776">
        <v>0</v>
      </c>
      <c r="R1776">
        <v>25.4</v>
      </c>
      <c r="S1776">
        <v>0</v>
      </c>
      <c r="T1776">
        <v>0</v>
      </c>
      <c r="U1776">
        <v>0</v>
      </c>
      <c r="V1776">
        <v>0</v>
      </c>
      <c r="X1776">
        <v>25.4</v>
      </c>
    </row>
    <row r="1777" spans="1:24" ht="15">
      <c r="A1777">
        <v>1770</v>
      </c>
      <c r="B1777">
        <v>100042</v>
      </c>
      <c r="C1777" t="s">
        <v>1956</v>
      </c>
      <c r="D1777" t="s">
        <v>120</v>
      </c>
      <c r="E1777" t="s">
        <v>80</v>
      </c>
      <c r="F1777" t="str">
        <f>"00640295"</f>
        <v>00640295</v>
      </c>
      <c r="G1777">
        <v>18.38</v>
      </c>
      <c r="H1777">
        <v>0</v>
      </c>
      <c r="I1777">
        <v>0</v>
      </c>
      <c r="J1777">
        <v>0</v>
      </c>
      <c r="K1777">
        <v>0</v>
      </c>
      <c r="N1777">
        <v>3</v>
      </c>
      <c r="O1777">
        <v>3</v>
      </c>
      <c r="P1777">
        <v>4</v>
      </c>
      <c r="Q1777">
        <v>0</v>
      </c>
      <c r="R1777">
        <v>25.38</v>
      </c>
      <c r="S1777">
        <v>0</v>
      </c>
      <c r="T1777">
        <v>0</v>
      </c>
      <c r="U1777">
        <v>0</v>
      </c>
      <c r="V1777">
        <v>0</v>
      </c>
      <c r="X1777">
        <v>25.38</v>
      </c>
    </row>
    <row r="1778" spans="1:24" ht="15">
      <c r="A1778">
        <v>1771</v>
      </c>
      <c r="B1778">
        <v>30231</v>
      </c>
      <c r="C1778" t="s">
        <v>1960</v>
      </c>
      <c r="D1778" t="s">
        <v>80</v>
      </c>
      <c r="E1778" t="s">
        <v>21</v>
      </c>
      <c r="F1778" t="str">
        <f>"00618897"</f>
        <v>00618897</v>
      </c>
      <c r="G1778">
        <v>15.33</v>
      </c>
      <c r="H1778">
        <v>0</v>
      </c>
      <c r="I1778">
        <v>0</v>
      </c>
      <c r="J1778">
        <v>0</v>
      </c>
      <c r="K1778">
        <v>0</v>
      </c>
      <c r="O1778">
        <v>0</v>
      </c>
      <c r="P1778">
        <v>4</v>
      </c>
      <c r="Q1778">
        <v>0</v>
      </c>
      <c r="R1778">
        <v>19.33</v>
      </c>
      <c r="S1778">
        <v>0</v>
      </c>
      <c r="T1778">
        <v>0</v>
      </c>
      <c r="U1778">
        <v>6</v>
      </c>
      <c r="V1778">
        <v>0</v>
      </c>
      <c r="X1778">
        <v>25.33</v>
      </c>
    </row>
    <row r="1779" spans="1:24" ht="15">
      <c r="A1779">
        <v>1772</v>
      </c>
      <c r="B1779">
        <v>4427</v>
      </c>
      <c r="C1779" t="s">
        <v>1963</v>
      </c>
      <c r="D1779" t="s">
        <v>29</v>
      </c>
      <c r="E1779" t="s">
        <v>30</v>
      </c>
      <c r="F1779" t="str">
        <f>"00008788"</f>
        <v>00008788</v>
      </c>
      <c r="G1779">
        <v>15.28</v>
      </c>
      <c r="H1779">
        <v>0</v>
      </c>
      <c r="I1779">
        <v>0</v>
      </c>
      <c r="J1779">
        <v>0</v>
      </c>
      <c r="K1779">
        <v>0</v>
      </c>
      <c r="N1779">
        <v>3</v>
      </c>
      <c r="O1779">
        <v>3</v>
      </c>
      <c r="P1779">
        <v>4</v>
      </c>
      <c r="Q1779">
        <v>0</v>
      </c>
      <c r="R1779">
        <v>22.28</v>
      </c>
      <c r="S1779">
        <v>0</v>
      </c>
      <c r="T1779">
        <v>0</v>
      </c>
      <c r="U1779">
        <v>3</v>
      </c>
      <c r="V1779">
        <v>0</v>
      </c>
      <c r="X1779">
        <v>25.28</v>
      </c>
    </row>
    <row r="1780" spans="1:24" ht="15">
      <c r="A1780">
        <v>1773</v>
      </c>
      <c r="B1780">
        <v>111327</v>
      </c>
      <c r="C1780" t="s">
        <v>1967</v>
      </c>
      <c r="D1780" t="s">
        <v>335</v>
      </c>
      <c r="E1780" t="s">
        <v>53</v>
      </c>
      <c r="F1780" t="str">
        <f>"200802003707"</f>
        <v>200802003707</v>
      </c>
      <c r="G1780">
        <v>16.25</v>
      </c>
      <c r="H1780">
        <v>0</v>
      </c>
      <c r="I1780">
        <v>0</v>
      </c>
      <c r="J1780">
        <v>0</v>
      </c>
      <c r="K1780">
        <v>0</v>
      </c>
      <c r="N1780">
        <v>3</v>
      </c>
      <c r="O1780">
        <v>3</v>
      </c>
      <c r="P1780">
        <v>0</v>
      </c>
      <c r="Q1780">
        <v>0</v>
      </c>
      <c r="R1780">
        <v>19.25</v>
      </c>
      <c r="S1780">
        <v>0</v>
      </c>
      <c r="T1780">
        <v>0</v>
      </c>
      <c r="U1780">
        <v>6</v>
      </c>
      <c r="V1780">
        <v>0</v>
      </c>
      <c r="X1780">
        <v>25.25</v>
      </c>
    </row>
    <row r="1781" spans="1:24" ht="15">
      <c r="A1781">
        <v>1774</v>
      </c>
      <c r="B1781">
        <v>93967</v>
      </c>
      <c r="C1781" t="s">
        <v>1968</v>
      </c>
      <c r="D1781" t="s">
        <v>513</v>
      </c>
      <c r="E1781" t="s">
        <v>60</v>
      </c>
      <c r="F1781" t="str">
        <f>"00630475"</f>
        <v>00630475</v>
      </c>
      <c r="G1781">
        <v>16.25</v>
      </c>
      <c r="H1781">
        <v>0</v>
      </c>
      <c r="I1781">
        <v>0</v>
      </c>
      <c r="J1781">
        <v>0</v>
      </c>
      <c r="K1781">
        <v>0</v>
      </c>
      <c r="N1781">
        <v>3</v>
      </c>
      <c r="O1781">
        <v>3</v>
      </c>
      <c r="P1781">
        <v>0</v>
      </c>
      <c r="Q1781">
        <v>0</v>
      </c>
      <c r="R1781">
        <v>19.25</v>
      </c>
      <c r="S1781">
        <v>0</v>
      </c>
      <c r="T1781">
        <v>0</v>
      </c>
      <c r="U1781">
        <v>6</v>
      </c>
      <c r="V1781">
        <v>0</v>
      </c>
      <c r="X1781">
        <v>25.25</v>
      </c>
    </row>
    <row r="1782" spans="1:24" ht="15">
      <c r="A1782">
        <v>1775</v>
      </c>
      <c r="B1782">
        <v>91192</v>
      </c>
      <c r="C1782" t="s">
        <v>1969</v>
      </c>
      <c r="D1782" t="s">
        <v>111</v>
      </c>
      <c r="E1782" t="s">
        <v>124</v>
      </c>
      <c r="F1782" t="str">
        <f>"00649107"</f>
        <v>00649107</v>
      </c>
      <c r="G1782">
        <v>16.25</v>
      </c>
      <c r="H1782">
        <v>0</v>
      </c>
      <c r="I1782">
        <v>0</v>
      </c>
      <c r="J1782">
        <v>0</v>
      </c>
      <c r="K1782">
        <v>0</v>
      </c>
      <c r="M1782">
        <v>5</v>
      </c>
      <c r="O1782">
        <v>5</v>
      </c>
      <c r="P1782">
        <v>4</v>
      </c>
      <c r="Q1782">
        <v>0</v>
      </c>
      <c r="R1782">
        <v>25.25</v>
      </c>
      <c r="S1782">
        <v>0</v>
      </c>
      <c r="T1782">
        <v>0</v>
      </c>
      <c r="U1782">
        <v>0</v>
      </c>
      <c r="V1782">
        <v>0</v>
      </c>
      <c r="X1782">
        <v>25.25</v>
      </c>
    </row>
    <row r="1783" spans="1:24" ht="15">
      <c r="A1783">
        <v>1776</v>
      </c>
      <c r="B1783">
        <v>85370</v>
      </c>
      <c r="C1783" t="s">
        <v>1970</v>
      </c>
      <c r="D1783" t="s">
        <v>363</v>
      </c>
      <c r="E1783" t="s">
        <v>259</v>
      </c>
      <c r="F1783" t="str">
        <f>"200812000001"</f>
        <v>200812000001</v>
      </c>
      <c r="G1783">
        <v>15.25</v>
      </c>
      <c r="H1783">
        <v>0</v>
      </c>
      <c r="I1783">
        <v>0</v>
      </c>
      <c r="J1783">
        <v>0</v>
      </c>
      <c r="K1783">
        <v>0</v>
      </c>
      <c r="N1783">
        <v>6</v>
      </c>
      <c r="O1783">
        <v>6</v>
      </c>
      <c r="P1783">
        <v>4</v>
      </c>
      <c r="Q1783">
        <v>0</v>
      </c>
      <c r="R1783">
        <v>25.25</v>
      </c>
      <c r="S1783">
        <v>0</v>
      </c>
      <c r="T1783">
        <v>0</v>
      </c>
      <c r="U1783">
        <v>0</v>
      </c>
      <c r="V1783">
        <v>0</v>
      </c>
      <c r="X1783">
        <v>25.25</v>
      </c>
    </row>
    <row r="1784" spans="1:24" ht="15">
      <c r="A1784">
        <v>1777</v>
      </c>
      <c r="B1784">
        <v>113604</v>
      </c>
      <c r="C1784" t="s">
        <v>1971</v>
      </c>
      <c r="D1784" t="s">
        <v>46</v>
      </c>
      <c r="E1784" t="s">
        <v>76</v>
      </c>
      <c r="F1784" t="str">
        <f>"201402002943"</f>
        <v>201402002943</v>
      </c>
      <c r="G1784">
        <v>18.2</v>
      </c>
      <c r="H1784">
        <v>0</v>
      </c>
      <c r="I1784">
        <v>0</v>
      </c>
      <c r="J1784">
        <v>0</v>
      </c>
      <c r="K1784">
        <v>0</v>
      </c>
      <c r="N1784">
        <v>3</v>
      </c>
      <c r="O1784">
        <v>3</v>
      </c>
      <c r="P1784">
        <v>4</v>
      </c>
      <c r="Q1784">
        <v>0</v>
      </c>
      <c r="R1784">
        <v>25.2</v>
      </c>
      <c r="S1784">
        <v>0</v>
      </c>
      <c r="T1784">
        <v>0</v>
      </c>
      <c r="U1784">
        <v>0</v>
      </c>
      <c r="V1784">
        <v>0</v>
      </c>
      <c r="X1784">
        <v>25.2</v>
      </c>
    </row>
    <row r="1785" spans="1:24" ht="15">
      <c r="A1785">
        <v>1778</v>
      </c>
      <c r="B1785">
        <v>29692</v>
      </c>
      <c r="C1785" t="s">
        <v>1266</v>
      </c>
      <c r="D1785" t="s">
        <v>122</v>
      </c>
      <c r="E1785" t="s">
        <v>231</v>
      </c>
      <c r="F1785" t="str">
        <f>"00626932"</f>
        <v>00626932</v>
      </c>
      <c r="G1785">
        <v>15.15</v>
      </c>
      <c r="H1785">
        <v>0</v>
      </c>
      <c r="I1785">
        <v>0</v>
      </c>
      <c r="J1785">
        <v>0</v>
      </c>
      <c r="K1785">
        <v>0</v>
      </c>
      <c r="O1785">
        <v>0</v>
      </c>
      <c r="P1785">
        <v>4</v>
      </c>
      <c r="Q1785">
        <v>0</v>
      </c>
      <c r="R1785">
        <v>19.15</v>
      </c>
      <c r="S1785">
        <v>0</v>
      </c>
      <c r="T1785">
        <v>0</v>
      </c>
      <c r="U1785">
        <v>6</v>
      </c>
      <c r="V1785">
        <v>0</v>
      </c>
      <c r="X1785">
        <v>25.15</v>
      </c>
    </row>
    <row r="1786" spans="1:24" ht="15">
      <c r="A1786">
        <v>1779</v>
      </c>
      <c r="B1786">
        <v>83797</v>
      </c>
      <c r="C1786" t="s">
        <v>1980</v>
      </c>
      <c r="D1786" t="s">
        <v>29</v>
      </c>
      <c r="E1786" t="s">
        <v>288</v>
      </c>
      <c r="F1786" t="str">
        <f>"00019638"</f>
        <v>00019638</v>
      </c>
      <c r="G1786">
        <v>15</v>
      </c>
      <c r="H1786">
        <v>0</v>
      </c>
      <c r="I1786">
        <v>0</v>
      </c>
      <c r="J1786">
        <v>0</v>
      </c>
      <c r="K1786">
        <v>0</v>
      </c>
      <c r="O1786">
        <v>0</v>
      </c>
      <c r="P1786">
        <v>4</v>
      </c>
      <c r="Q1786">
        <v>0</v>
      </c>
      <c r="R1786">
        <v>19</v>
      </c>
      <c r="S1786">
        <v>0</v>
      </c>
      <c r="T1786">
        <v>0</v>
      </c>
      <c r="U1786">
        <v>6</v>
      </c>
      <c r="V1786">
        <v>0</v>
      </c>
      <c r="X1786">
        <v>25</v>
      </c>
    </row>
    <row r="1787" spans="1:24" ht="15">
      <c r="A1787">
        <v>1780</v>
      </c>
      <c r="B1787">
        <v>72732</v>
      </c>
      <c r="C1787" t="s">
        <v>1981</v>
      </c>
      <c r="D1787" t="s">
        <v>27</v>
      </c>
      <c r="E1787" t="s">
        <v>53</v>
      </c>
      <c r="F1787" t="str">
        <f>"00226267"</f>
        <v>00226267</v>
      </c>
      <c r="G1787">
        <v>15</v>
      </c>
      <c r="H1787">
        <v>0</v>
      </c>
      <c r="I1787">
        <v>0</v>
      </c>
      <c r="J1787">
        <v>0</v>
      </c>
      <c r="K1787">
        <v>0</v>
      </c>
      <c r="N1787">
        <v>3</v>
      </c>
      <c r="O1787">
        <v>3</v>
      </c>
      <c r="P1787">
        <v>4</v>
      </c>
      <c r="Q1787">
        <v>0</v>
      </c>
      <c r="R1787">
        <v>22</v>
      </c>
      <c r="S1787">
        <v>0</v>
      </c>
      <c r="T1787">
        <v>0</v>
      </c>
      <c r="U1787">
        <v>3</v>
      </c>
      <c r="V1787">
        <v>0</v>
      </c>
      <c r="X1787">
        <v>25</v>
      </c>
    </row>
    <row r="1788" spans="1:24" ht="15">
      <c r="A1788">
        <v>1781</v>
      </c>
      <c r="B1788">
        <v>75706</v>
      </c>
      <c r="C1788" t="s">
        <v>1983</v>
      </c>
      <c r="D1788" t="s">
        <v>56</v>
      </c>
      <c r="E1788" t="s">
        <v>106</v>
      </c>
      <c r="F1788" t="str">
        <f>"00369135"</f>
        <v>00369135</v>
      </c>
      <c r="G1788">
        <v>14.93</v>
      </c>
      <c r="H1788">
        <v>0</v>
      </c>
      <c r="I1788">
        <v>0</v>
      </c>
      <c r="J1788">
        <v>0</v>
      </c>
      <c r="K1788">
        <v>0</v>
      </c>
      <c r="N1788">
        <v>3</v>
      </c>
      <c r="O1788">
        <v>3</v>
      </c>
      <c r="P1788">
        <v>4</v>
      </c>
      <c r="Q1788">
        <v>0</v>
      </c>
      <c r="R1788">
        <v>21.93</v>
      </c>
      <c r="S1788">
        <v>0</v>
      </c>
      <c r="T1788">
        <v>0</v>
      </c>
      <c r="U1788">
        <v>3</v>
      </c>
      <c r="V1788">
        <v>0</v>
      </c>
      <c r="X1788">
        <v>24.93</v>
      </c>
    </row>
    <row r="1789" spans="1:24" ht="15">
      <c r="A1789">
        <v>1782</v>
      </c>
      <c r="B1789">
        <v>89916</v>
      </c>
      <c r="C1789" t="s">
        <v>1985</v>
      </c>
      <c r="D1789" t="s">
        <v>39</v>
      </c>
      <c r="E1789" t="s">
        <v>120</v>
      </c>
      <c r="F1789" t="str">
        <f>"00644549"</f>
        <v>00644549</v>
      </c>
      <c r="G1789">
        <v>15.88</v>
      </c>
      <c r="H1789">
        <v>0</v>
      </c>
      <c r="I1789">
        <v>0</v>
      </c>
      <c r="J1789">
        <v>0</v>
      </c>
      <c r="K1789">
        <v>0</v>
      </c>
      <c r="M1789">
        <v>5</v>
      </c>
      <c r="O1789">
        <v>5</v>
      </c>
      <c r="P1789">
        <v>4</v>
      </c>
      <c r="Q1789">
        <v>0</v>
      </c>
      <c r="R1789">
        <v>24.88</v>
      </c>
      <c r="S1789">
        <v>0</v>
      </c>
      <c r="T1789">
        <v>0</v>
      </c>
      <c r="U1789">
        <v>0</v>
      </c>
      <c r="V1789">
        <v>0</v>
      </c>
      <c r="X1789">
        <v>24.88</v>
      </c>
    </row>
    <row r="1790" spans="1:24" ht="15">
      <c r="A1790">
        <v>1783</v>
      </c>
      <c r="B1790">
        <v>33395</v>
      </c>
      <c r="C1790" t="s">
        <v>1988</v>
      </c>
      <c r="D1790" t="s">
        <v>16</v>
      </c>
      <c r="E1790" t="s">
        <v>30</v>
      </c>
      <c r="F1790" t="str">
        <f>"00637647"</f>
        <v>00637647</v>
      </c>
      <c r="G1790">
        <v>17.8</v>
      </c>
      <c r="H1790">
        <v>0</v>
      </c>
      <c r="I1790">
        <v>0</v>
      </c>
      <c r="J1790">
        <v>0</v>
      </c>
      <c r="K1790">
        <v>0</v>
      </c>
      <c r="L1790">
        <v>7</v>
      </c>
      <c r="O1790">
        <v>7</v>
      </c>
      <c r="P1790">
        <v>0</v>
      </c>
      <c r="Q1790">
        <v>0</v>
      </c>
      <c r="R1790">
        <v>24.8</v>
      </c>
      <c r="S1790">
        <v>0</v>
      </c>
      <c r="T1790">
        <v>0</v>
      </c>
      <c r="U1790">
        <v>0</v>
      </c>
      <c r="V1790">
        <v>0</v>
      </c>
      <c r="X1790">
        <v>24.8</v>
      </c>
    </row>
    <row r="1791" spans="1:24" ht="15">
      <c r="A1791">
        <v>1784</v>
      </c>
      <c r="B1791">
        <v>29595</v>
      </c>
      <c r="C1791" t="s">
        <v>1989</v>
      </c>
      <c r="D1791" t="s">
        <v>1990</v>
      </c>
      <c r="E1791" t="s">
        <v>53</v>
      </c>
      <c r="F1791" t="str">
        <f>"00610271"</f>
        <v>00610271</v>
      </c>
      <c r="G1791">
        <v>14.75</v>
      </c>
      <c r="H1791">
        <v>0</v>
      </c>
      <c r="I1791">
        <v>0</v>
      </c>
      <c r="J1791">
        <v>0</v>
      </c>
      <c r="K1791">
        <v>0</v>
      </c>
      <c r="O1791">
        <v>0</v>
      </c>
      <c r="P1791">
        <v>4</v>
      </c>
      <c r="Q1791">
        <v>0</v>
      </c>
      <c r="R1791">
        <v>18.75</v>
      </c>
      <c r="S1791">
        <v>0</v>
      </c>
      <c r="T1791">
        <v>0</v>
      </c>
      <c r="U1791">
        <v>6</v>
      </c>
      <c r="V1791">
        <v>0</v>
      </c>
      <c r="X1791">
        <v>24.75</v>
      </c>
    </row>
    <row r="1792" spans="1:24" ht="15">
      <c r="A1792">
        <v>1785</v>
      </c>
      <c r="B1792">
        <v>12546</v>
      </c>
      <c r="C1792" t="s">
        <v>1992</v>
      </c>
      <c r="D1792" t="s">
        <v>27</v>
      </c>
      <c r="E1792" t="s">
        <v>273</v>
      </c>
      <c r="F1792" t="str">
        <f>"201511014004"</f>
        <v>201511014004</v>
      </c>
      <c r="G1792">
        <v>15.7</v>
      </c>
      <c r="H1792">
        <v>0</v>
      </c>
      <c r="I1792">
        <v>0</v>
      </c>
      <c r="J1792">
        <v>0</v>
      </c>
      <c r="K1792">
        <v>0</v>
      </c>
      <c r="M1792">
        <v>5</v>
      </c>
      <c r="O1792">
        <v>5</v>
      </c>
      <c r="P1792">
        <v>4</v>
      </c>
      <c r="Q1792">
        <v>0</v>
      </c>
      <c r="R1792">
        <v>24.7</v>
      </c>
      <c r="S1792">
        <v>0</v>
      </c>
      <c r="T1792">
        <v>0</v>
      </c>
      <c r="U1792">
        <v>0</v>
      </c>
      <c r="V1792">
        <v>0</v>
      </c>
      <c r="X1792">
        <v>24.7</v>
      </c>
    </row>
    <row r="1793" spans="1:24" ht="15">
      <c r="A1793">
        <v>1786</v>
      </c>
      <c r="B1793">
        <v>24011</v>
      </c>
      <c r="C1793" t="s">
        <v>1999</v>
      </c>
      <c r="D1793" t="s">
        <v>2000</v>
      </c>
      <c r="E1793" t="s">
        <v>12</v>
      </c>
      <c r="F1793" t="str">
        <f>"201511010873"</f>
        <v>201511010873</v>
      </c>
      <c r="G1793">
        <v>14.58</v>
      </c>
      <c r="H1793">
        <v>0</v>
      </c>
      <c r="I1793">
        <v>0</v>
      </c>
      <c r="J1793">
        <v>0</v>
      </c>
      <c r="K1793">
        <v>0</v>
      </c>
      <c r="O1793">
        <v>0</v>
      </c>
      <c r="P1793">
        <v>4</v>
      </c>
      <c r="Q1793">
        <v>0</v>
      </c>
      <c r="R1793">
        <v>18.58</v>
      </c>
      <c r="S1793">
        <v>0</v>
      </c>
      <c r="T1793">
        <v>0</v>
      </c>
      <c r="U1793">
        <v>6</v>
      </c>
      <c r="V1793">
        <v>0</v>
      </c>
      <c r="X1793">
        <v>24.58</v>
      </c>
    </row>
    <row r="1794" spans="1:24" ht="15">
      <c r="A1794">
        <v>1787</v>
      </c>
      <c r="B1794">
        <v>78432</v>
      </c>
      <c r="C1794" t="s">
        <v>2001</v>
      </c>
      <c r="D1794" t="s">
        <v>111</v>
      </c>
      <c r="E1794" t="s">
        <v>39</v>
      </c>
      <c r="F1794" t="str">
        <f>"201510002430"</f>
        <v>201510002430</v>
      </c>
      <c r="G1794">
        <v>17.53</v>
      </c>
      <c r="H1794">
        <v>0</v>
      </c>
      <c r="I1794">
        <v>0</v>
      </c>
      <c r="J1794">
        <v>0</v>
      </c>
      <c r="K1794">
        <v>0</v>
      </c>
      <c r="O1794">
        <v>0</v>
      </c>
      <c r="P1794">
        <v>4</v>
      </c>
      <c r="Q1794">
        <v>0</v>
      </c>
      <c r="R1794">
        <v>21.53</v>
      </c>
      <c r="S1794">
        <v>0</v>
      </c>
      <c r="T1794">
        <v>0</v>
      </c>
      <c r="U1794">
        <v>3</v>
      </c>
      <c r="V1794">
        <v>0</v>
      </c>
      <c r="X1794">
        <v>24.53</v>
      </c>
    </row>
    <row r="1795" spans="1:24" ht="15">
      <c r="A1795">
        <v>1788</v>
      </c>
      <c r="B1795">
        <v>64292</v>
      </c>
      <c r="C1795" t="s">
        <v>2003</v>
      </c>
      <c r="D1795" t="s">
        <v>88</v>
      </c>
      <c r="E1795" t="s">
        <v>30</v>
      </c>
      <c r="F1795" t="str">
        <f>"200801008679"</f>
        <v>200801008679</v>
      </c>
      <c r="G1795">
        <v>14.5</v>
      </c>
      <c r="H1795">
        <v>0</v>
      </c>
      <c r="I1795">
        <v>0</v>
      </c>
      <c r="J1795">
        <v>0</v>
      </c>
      <c r="K1795">
        <v>0</v>
      </c>
      <c r="O1795">
        <v>0</v>
      </c>
      <c r="P1795">
        <v>4</v>
      </c>
      <c r="Q1795">
        <v>0</v>
      </c>
      <c r="R1795">
        <v>18.5</v>
      </c>
      <c r="S1795">
        <v>0</v>
      </c>
      <c r="T1795">
        <v>0</v>
      </c>
      <c r="U1795">
        <v>6</v>
      </c>
      <c r="V1795">
        <v>0</v>
      </c>
      <c r="X1795">
        <v>24.5</v>
      </c>
    </row>
    <row r="1796" spans="1:24" ht="15">
      <c r="A1796">
        <v>1789</v>
      </c>
      <c r="B1796">
        <v>24670</v>
      </c>
      <c r="C1796" t="s">
        <v>1086</v>
      </c>
      <c r="D1796" t="s">
        <v>21</v>
      </c>
      <c r="E1796" t="s">
        <v>12</v>
      </c>
      <c r="F1796" t="str">
        <f>"00605592"</f>
        <v>00605592</v>
      </c>
      <c r="G1796">
        <v>17.45</v>
      </c>
      <c r="H1796">
        <v>0</v>
      </c>
      <c r="I1796">
        <v>0</v>
      </c>
      <c r="J1796">
        <v>0</v>
      </c>
      <c r="K1796">
        <v>0</v>
      </c>
      <c r="L1796">
        <v>7</v>
      </c>
      <c r="O1796">
        <v>7</v>
      </c>
      <c r="P1796">
        <v>0</v>
      </c>
      <c r="Q1796">
        <v>0</v>
      </c>
      <c r="R1796">
        <v>24.45</v>
      </c>
      <c r="S1796">
        <v>0</v>
      </c>
      <c r="T1796">
        <v>0</v>
      </c>
      <c r="U1796">
        <v>0</v>
      </c>
      <c r="V1796">
        <v>0</v>
      </c>
      <c r="X1796">
        <v>24.45</v>
      </c>
    </row>
    <row r="1797" spans="1:24" ht="15">
      <c r="A1797">
        <v>1790</v>
      </c>
      <c r="B1797">
        <v>107640</v>
      </c>
      <c r="C1797" t="s">
        <v>2006</v>
      </c>
      <c r="D1797" t="s">
        <v>29</v>
      </c>
      <c r="E1797" t="s">
        <v>805</v>
      </c>
      <c r="F1797" t="str">
        <f>"00430504"</f>
        <v>00430504</v>
      </c>
      <c r="G1797">
        <v>17.43</v>
      </c>
      <c r="H1797">
        <v>0</v>
      </c>
      <c r="I1797">
        <v>0</v>
      </c>
      <c r="J1797">
        <v>0</v>
      </c>
      <c r="K1797">
        <v>0</v>
      </c>
      <c r="N1797">
        <v>3</v>
      </c>
      <c r="O1797">
        <v>3</v>
      </c>
      <c r="P1797">
        <v>4</v>
      </c>
      <c r="Q1797">
        <v>0</v>
      </c>
      <c r="R1797">
        <v>24.43</v>
      </c>
      <c r="S1797">
        <v>0</v>
      </c>
      <c r="T1797">
        <v>0</v>
      </c>
      <c r="U1797">
        <v>0</v>
      </c>
      <c r="V1797">
        <v>0</v>
      </c>
      <c r="X1797">
        <v>24.43</v>
      </c>
    </row>
    <row r="1798" spans="1:24" ht="15">
      <c r="A1798">
        <v>1791</v>
      </c>
      <c r="B1798">
        <v>91337</v>
      </c>
      <c r="C1798" t="s">
        <v>1457</v>
      </c>
      <c r="D1798" t="s">
        <v>2011</v>
      </c>
      <c r="E1798" t="s">
        <v>91</v>
      </c>
      <c r="F1798" t="str">
        <f>"00636221"</f>
        <v>00636221</v>
      </c>
      <c r="G1798">
        <v>21.3</v>
      </c>
      <c r="H1798">
        <v>0</v>
      </c>
      <c r="I1798">
        <v>0</v>
      </c>
      <c r="J1798">
        <v>0</v>
      </c>
      <c r="K1798">
        <v>0</v>
      </c>
      <c r="N1798">
        <v>3</v>
      </c>
      <c r="O1798">
        <v>3</v>
      </c>
      <c r="P1798">
        <v>0</v>
      </c>
      <c r="Q1798">
        <v>0</v>
      </c>
      <c r="R1798">
        <v>24.3</v>
      </c>
      <c r="S1798">
        <v>0</v>
      </c>
      <c r="T1798">
        <v>0</v>
      </c>
      <c r="U1798">
        <v>0</v>
      </c>
      <c r="V1798">
        <v>0</v>
      </c>
      <c r="X1798">
        <v>24.3</v>
      </c>
    </row>
    <row r="1799" spans="1:24" ht="15">
      <c r="A1799">
        <v>1792</v>
      </c>
      <c r="B1799">
        <v>66154</v>
      </c>
      <c r="C1799" t="s">
        <v>2012</v>
      </c>
      <c r="D1799" t="s">
        <v>139</v>
      </c>
      <c r="E1799" t="s">
        <v>27</v>
      </c>
      <c r="F1799" t="str">
        <f>"00264746"</f>
        <v>00264746</v>
      </c>
      <c r="G1799">
        <v>20.28</v>
      </c>
      <c r="H1799">
        <v>0</v>
      </c>
      <c r="I1799">
        <v>0</v>
      </c>
      <c r="J1799">
        <v>0</v>
      </c>
      <c r="K1799">
        <v>0</v>
      </c>
      <c r="O1799">
        <v>0</v>
      </c>
      <c r="P1799">
        <v>4</v>
      </c>
      <c r="Q1799">
        <v>0</v>
      </c>
      <c r="R1799">
        <v>24.28</v>
      </c>
      <c r="S1799">
        <v>0</v>
      </c>
      <c r="T1799">
        <v>0</v>
      </c>
      <c r="U1799">
        <v>0</v>
      </c>
      <c r="V1799">
        <v>0</v>
      </c>
      <c r="X1799">
        <v>24.28</v>
      </c>
    </row>
    <row r="1800" spans="1:24" ht="15">
      <c r="A1800">
        <v>1793</v>
      </c>
      <c r="B1800">
        <v>98517</v>
      </c>
      <c r="C1800" t="s">
        <v>2015</v>
      </c>
      <c r="D1800" t="s">
        <v>41</v>
      </c>
      <c r="E1800" t="s">
        <v>21</v>
      </c>
      <c r="F1800" t="str">
        <f>"201406004436"</f>
        <v>201406004436</v>
      </c>
      <c r="G1800">
        <v>15.2</v>
      </c>
      <c r="H1800">
        <v>0</v>
      </c>
      <c r="I1800">
        <v>0</v>
      </c>
      <c r="J1800">
        <v>0</v>
      </c>
      <c r="K1800">
        <v>0</v>
      </c>
      <c r="M1800">
        <v>5</v>
      </c>
      <c r="O1800">
        <v>5</v>
      </c>
      <c r="P1800">
        <v>4</v>
      </c>
      <c r="Q1800">
        <v>0</v>
      </c>
      <c r="R1800">
        <v>24.2</v>
      </c>
      <c r="S1800">
        <v>0</v>
      </c>
      <c r="T1800">
        <v>0</v>
      </c>
      <c r="U1800">
        <v>0</v>
      </c>
      <c r="V1800">
        <v>0</v>
      </c>
      <c r="X1800">
        <v>24.2</v>
      </c>
    </row>
    <row r="1801" spans="1:24" ht="15">
      <c r="A1801">
        <v>1794</v>
      </c>
      <c r="B1801">
        <v>105712</v>
      </c>
      <c r="C1801" t="s">
        <v>1457</v>
      </c>
      <c r="D1801" t="s">
        <v>20</v>
      </c>
      <c r="E1801" t="s">
        <v>91</v>
      </c>
      <c r="F1801" t="str">
        <f>"00637649"</f>
        <v>00637649</v>
      </c>
      <c r="G1801">
        <v>21.15</v>
      </c>
      <c r="H1801">
        <v>0</v>
      </c>
      <c r="I1801">
        <v>0</v>
      </c>
      <c r="J1801">
        <v>0</v>
      </c>
      <c r="K1801">
        <v>0</v>
      </c>
      <c r="N1801">
        <v>3</v>
      </c>
      <c r="O1801">
        <v>3</v>
      </c>
      <c r="P1801">
        <v>0</v>
      </c>
      <c r="Q1801">
        <v>0</v>
      </c>
      <c r="R1801">
        <v>24.15</v>
      </c>
      <c r="S1801">
        <v>0</v>
      </c>
      <c r="T1801">
        <v>0</v>
      </c>
      <c r="U1801">
        <v>0</v>
      </c>
      <c r="V1801">
        <v>0</v>
      </c>
      <c r="X1801">
        <v>24.15</v>
      </c>
    </row>
    <row r="1802" spans="1:24" ht="15">
      <c r="A1802">
        <v>1795</v>
      </c>
      <c r="B1802">
        <v>68059</v>
      </c>
      <c r="C1802" t="s">
        <v>2023</v>
      </c>
      <c r="D1802" t="s">
        <v>2024</v>
      </c>
      <c r="E1802" t="s">
        <v>2025</v>
      </c>
      <c r="F1802" t="str">
        <f>"00005567"</f>
        <v>00005567</v>
      </c>
      <c r="G1802">
        <v>17.08</v>
      </c>
      <c r="H1802">
        <v>0</v>
      </c>
      <c r="I1802">
        <v>0</v>
      </c>
      <c r="J1802">
        <v>0</v>
      </c>
      <c r="K1802">
        <v>0</v>
      </c>
      <c r="O1802">
        <v>0</v>
      </c>
      <c r="P1802">
        <v>4</v>
      </c>
      <c r="Q1802">
        <v>0</v>
      </c>
      <c r="R1802">
        <v>21.08</v>
      </c>
      <c r="S1802">
        <v>0</v>
      </c>
      <c r="T1802">
        <v>0</v>
      </c>
      <c r="U1802">
        <v>3</v>
      </c>
      <c r="V1802">
        <v>0</v>
      </c>
      <c r="X1802">
        <v>24.08</v>
      </c>
    </row>
    <row r="1803" spans="1:24" ht="15">
      <c r="A1803">
        <v>1796</v>
      </c>
      <c r="B1803">
        <v>65004</v>
      </c>
      <c r="C1803" t="s">
        <v>2029</v>
      </c>
      <c r="D1803" t="s">
        <v>2030</v>
      </c>
      <c r="E1803" t="s">
        <v>111</v>
      </c>
      <c r="F1803" t="str">
        <f>"00018044"</f>
        <v>00018044</v>
      </c>
      <c r="G1803">
        <v>13.05</v>
      </c>
      <c r="H1803">
        <v>0</v>
      </c>
      <c r="I1803">
        <v>0</v>
      </c>
      <c r="J1803">
        <v>0</v>
      </c>
      <c r="K1803">
        <v>0</v>
      </c>
      <c r="L1803">
        <v>7</v>
      </c>
      <c r="O1803">
        <v>7</v>
      </c>
      <c r="P1803">
        <v>4</v>
      </c>
      <c r="Q1803">
        <v>0</v>
      </c>
      <c r="R1803">
        <v>24.05</v>
      </c>
      <c r="S1803">
        <v>0</v>
      </c>
      <c r="T1803">
        <v>0</v>
      </c>
      <c r="U1803">
        <v>0</v>
      </c>
      <c r="V1803">
        <v>0</v>
      </c>
      <c r="X1803">
        <v>24.05</v>
      </c>
    </row>
    <row r="1804" spans="1:24" ht="15">
      <c r="A1804">
        <v>1797</v>
      </c>
      <c r="B1804">
        <v>64776</v>
      </c>
      <c r="C1804" t="s">
        <v>2033</v>
      </c>
      <c r="D1804" t="s">
        <v>2034</v>
      </c>
      <c r="E1804" t="s">
        <v>51</v>
      </c>
      <c r="F1804" t="str">
        <f>"00427641"</f>
        <v>00427641</v>
      </c>
      <c r="G1804">
        <v>17</v>
      </c>
      <c r="H1804">
        <v>0</v>
      </c>
      <c r="I1804">
        <v>0</v>
      </c>
      <c r="J1804">
        <v>0</v>
      </c>
      <c r="K1804">
        <v>0</v>
      </c>
      <c r="N1804">
        <v>3</v>
      </c>
      <c r="O1804">
        <v>3</v>
      </c>
      <c r="P1804">
        <v>4</v>
      </c>
      <c r="Q1804">
        <v>0</v>
      </c>
      <c r="R1804">
        <v>24</v>
      </c>
      <c r="S1804">
        <v>0</v>
      </c>
      <c r="T1804">
        <v>0</v>
      </c>
      <c r="U1804">
        <v>0</v>
      </c>
      <c r="V1804">
        <v>0</v>
      </c>
      <c r="X1804">
        <v>24</v>
      </c>
    </row>
    <row r="1805" spans="1:24" ht="15">
      <c r="A1805">
        <v>1798</v>
      </c>
      <c r="B1805">
        <v>81341</v>
      </c>
      <c r="C1805" t="s">
        <v>2035</v>
      </c>
      <c r="D1805" t="s">
        <v>1009</v>
      </c>
      <c r="E1805" t="s">
        <v>106</v>
      </c>
      <c r="F1805" t="str">
        <f>"00641321"</f>
        <v>00641321</v>
      </c>
      <c r="G1805">
        <v>16.98</v>
      </c>
      <c r="H1805">
        <v>0</v>
      </c>
      <c r="I1805">
        <v>0</v>
      </c>
      <c r="J1805">
        <v>0</v>
      </c>
      <c r="K1805">
        <v>0</v>
      </c>
      <c r="N1805">
        <v>3</v>
      </c>
      <c r="O1805">
        <v>3</v>
      </c>
      <c r="P1805">
        <v>4</v>
      </c>
      <c r="Q1805">
        <v>0</v>
      </c>
      <c r="R1805">
        <v>23.98</v>
      </c>
      <c r="S1805">
        <v>0</v>
      </c>
      <c r="T1805">
        <v>0</v>
      </c>
      <c r="U1805">
        <v>0</v>
      </c>
      <c r="V1805">
        <v>0</v>
      </c>
      <c r="X1805">
        <v>23.98</v>
      </c>
    </row>
    <row r="1806" spans="1:24" ht="15">
      <c r="A1806">
        <v>1799</v>
      </c>
      <c r="B1806">
        <v>90628</v>
      </c>
      <c r="C1806" t="s">
        <v>2036</v>
      </c>
      <c r="D1806" t="s">
        <v>27</v>
      </c>
      <c r="E1806" t="s">
        <v>288</v>
      </c>
      <c r="F1806" t="str">
        <f>"00633704"</f>
        <v>00633704</v>
      </c>
      <c r="G1806">
        <v>16.95</v>
      </c>
      <c r="H1806">
        <v>0</v>
      </c>
      <c r="I1806">
        <v>0</v>
      </c>
      <c r="J1806">
        <v>0</v>
      </c>
      <c r="K1806">
        <v>0</v>
      </c>
      <c r="O1806">
        <v>0</v>
      </c>
      <c r="P1806">
        <v>4</v>
      </c>
      <c r="Q1806">
        <v>0</v>
      </c>
      <c r="R1806">
        <v>20.95</v>
      </c>
      <c r="S1806">
        <v>3</v>
      </c>
      <c r="T1806">
        <v>3</v>
      </c>
      <c r="U1806">
        <v>0</v>
      </c>
      <c r="V1806">
        <v>0</v>
      </c>
      <c r="X1806">
        <v>23.95</v>
      </c>
    </row>
    <row r="1807" spans="1:24" ht="15">
      <c r="A1807">
        <v>1800</v>
      </c>
      <c r="B1807">
        <v>113968</v>
      </c>
      <c r="C1807" t="s">
        <v>2038</v>
      </c>
      <c r="D1807" t="s">
        <v>27</v>
      </c>
      <c r="E1807" t="s">
        <v>360</v>
      </c>
      <c r="F1807" t="str">
        <f>"201504003561"</f>
        <v>201504003561</v>
      </c>
      <c r="G1807">
        <v>16.83</v>
      </c>
      <c r="H1807">
        <v>0</v>
      </c>
      <c r="I1807">
        <v>0</v>
      </c>
      <c r="J1807">
        <v>0</v>
      </c>
      <c r="K1807">
        <v>0</v>
      </c>
      <c r="N1807">
        <v>3</v>
      </c>
      <c r="O1807">
        <v>3</v>
      </c>
      <c r="P1807">
        <v>4</v>
      </c>
      <c r="Q1807">
        <v>0</v>
      </c>
      <c r="R1807">
        <v>23.83</v>
      </c>
      <c r="S1807">
        <v>0</v>
      </c>
      <c r="T1807">
        <v>0</v>
      </c>
      <c r="U1807">
        <v>0</v>
      </c>
      <c r="V1807">
        <v>0</v>
      </c>
      <c r="X1807">
        <v>23.83</v>
      </c>
    </row>
    <row r="1808" spans="1:24" ht="15">
      <c r="A1808">
        <v>1801</v>
      </c>
      <c r="B1808">
        <v>7013</v>
      </c>
      <c r="C1808" t="s">
        <v>2040</v>
      </c>
      <c r="D1808" t="s">
        <v>50</v>
      </c>
      <c r="E1808" t="s">
        <v>1540</v>
      </c>
      <c r="F1808" t="str">
        <f>"201410007891"</f>
        <v>201410007891</v>
      </c>
      <c r="G1808">
        <v>16.83</v>
      </c>
      <c r="H1808">
        <v>7</v>
      </c>
      <c r="I1808">
        <v>0</v>
      </c>
      <c r="J1808">
        <v>0</v>
      </c>
      <c r="K1808">
        <v>0</v>
      </c>
      <c r="O1808">
        <v>0</v>
      </c>
      <c r="P1808">
        <v>0</v>
      </c>
      <c r="Q1808">
        <v>0</v>
      </c>
      <c r="R1808">
        <v>23.83</v>
      </c>
      <c r="S1808">
        <v>0</v>
      </c>
      <c r="T1808">
        <v>0</v>
      </c>
      <c r="U1808">
        <v>0</v>
      </c>
      <c r="V1808">
        <v>0</v>
      </c>
      <c r="X1808">
        <v>23.83</v>
      </c>
    </row>
    <row r="1809" spans="1:24" ht="15">
      <c r="A1809">
        <v>1802</v>
      </c>
      <c r="B1809">
        <v>30165</v>
      </c>
      <c r="C1809" t="s">
        <v>2042</v>
      </c>
      <c r="D1809" t="s">
        <v>75</v>
      </c>
      <c r="E1809" t="s">
        <v>23</v>
      </c>
      <c r="F1809" t="str">
        <f>"00556363"</f>
        <v>00556363</v>
      </c>
      <c r="G1809">
        <v>17.75</v>
      </c>
      <c r="H1809">
        <v>0</v>
      </c>
      <c r="I1809">
        <v>0</v>
      </c>
      <c r="J1809">
        <v>0</v>
      </c>
      <c r="K1809">
        <v>0</v>
      </c>
      <c r="O1809">
        <v>0</v>
      </c>
      <c r="P1809">
        <v>0</v>
      </c>
      <c r="Q1809">
        <v>0</v>
      </c>
      <c r="R1809">
        <v>17.75</v>
      </c>
      <c r="S1809">
        <v>0</v>
      </c>
      <c r="T1809">
        <v>0</v>
      </c>
      <c r="U1809">
        <v>6</v>
      </c>
      <c r="V1809">
        <v>0</v>
      </c>
      <c r="X1809">
        <v>23.75</v>
      </c>
    </row>
    <row r="1810" spans="1:24" ht="15">
      <c r="A1810">
        <v>1803</v>
      </c>
      <c r="B1810">
        <v>95681</v>
      </c>
      <c r="C1810" t="s">
        <v>2045</v>
      </c>
      <c r="D1810" t="s">
        <v>180</v>
      </c>
      <c r="E1810" t="s">
        <v>20</v>
      </c>
      <c r="F1810" t="str">
        <f>"00362512"</f>
        <v>00362512</v>
      </c>
      <c r="G1810">
        <v>16.75</v>
      </c>
      <c r="H1810">
        <v>0</v>
      </c>
      <c r="I1810">
        <v>0</v>
      </c>
      <c r="J1810">
        <v>0</v>
      </c>
      <c r="K1810">
        <v>0</v>
      </c>
      <c r="N1810">
        <v>3</v>
      </c>
      <c r="O1810">
        <v>3</v>
      </c>
      <c r="P1810">
        <v>4</v>
      </c>
      <c r="Q1810">
        <v>0</v>
      </c>
      <c r="R1810">
        <v>23.75</v>
      </c>
      <c r="S1810">
        <v>0</v>
      </c>
      <c r="T1810">
        <v>0</v>
      </c>
      <c r="U1810">
        <v>0</v>
      </c>
      <c r="V1810">
        <v>0</v>
      </c>
      <c r="X1810">
        <v>23.75</v>
      </c>
    </row>
    <row r="1811" spans="1:24" ht="15">
      <c r="A1811">
        <v>1804</v>
      </c>
      <c r="B1811">
        <v>50562</v>
      </c>
      <c r="C1811" t="s">
        <v>2050</v>
      </c>
      <c r="D1811" t="s">
        <v>27</v>
      </c>
      <c r="E1811" t="s">
        <v>61</v>
      </c>
      <c r="F1811" t="str">
        <f>"00599859"</f>
        <v>00599859</v>
      </c>
      <c r="G1811">
        <v>17.7</v>
      </c>
      <c r="H1811">
        <v>0</v>
      </c>
      <c r="I1811">
        <v>0</v>
      </c>
      <c r="J1811">
        <v>0</v>
      </c>
      <c r="K1811">
        <v>0</v>
      </c>
      <c r="O1811">
        <v>0</v>
      </c>
      <c r="P1811">
        <v>0</v>
      </c>
      <c r="Q1811">
        <v>0</v>
      </c>
      <c r="R1811">
        <v>17.7</v>
      </c>
      <c r="S1811">
        <v>0</v>
      </c>
      <c r="T1811">
        <v>0</v>
      </c>
      <c r="U1811">
        <v>6</v>
      </c>
      <c r="V1811">
        <v>0</v>
      </c>
      <c r="X1811">
        <v>23.7</v>
      </c>
    </row>
    <row r="1812" spans="1:24" ht="15">
      <c r="A1812">
        <v>1805</v>
      </c>
      <c r="B1812">
        <v>32852</v>
      </c>
      <c r="C1812" t="s">
        <v>979</v>
      </c>
      <c r="D1812" t="s">
        <v>1089</v>
      </c>
      <c r="E1812" t="s">
        <v>27</v>
      </c>
      <c r="F1812" t="str">
        <f>"00444089"</f>
        <v>00444089</v>
      </c>
      <c r="G1812">
        <v>16.68</v>
      </c>
      <c r="H1812">
        <v>0</v>
      </c>
      <c r="I1812">
        <v>0</v>
      </c>
      <c r="J1812">
        <v>0</v>
      </c>
      <c r="K1812">
        <v>0</v>
      </c>
      <c r="N1812">
        <v>3</v>
      </c>
      <c r="O1812">
        <v>3</v>
      </c>
      <c r="P1812">
        <v>4</v>
      </c>
      <c r="Q1812">
        <v>0</v>
      </c>
      <c r="R1812">
        <v>23.68</v>
      </c>
      <c r="S1812">
        <v>0</v>
      </c>
      <c r="T1812">
        <v>0</v>
      </c>
      <c r="U1812">
        <v>0</v>
      </c>
      <c r="V1812">
        <v>0</v>
      </c>
      <c r="X1812">
        <v>23.68</v>
      </c>
    </row>
    <row r="1813" spans="1:24" ht="15">
      <c r="A1813">
        <v>1806</v>
      </c>
      <c r="B1813">
        <v>108777</v>
      </c>
      <c r="C1813" t="s">
        <v>2055</v>
      </c>
      <c r="D1813" t="s">
        <v>124</v>
      </c>
      <c r="E1813" t="s">
        <v>76</v>
      </c>
      <c r="F1813" t="str">
        <f>"201412004997"</f>
        <v>201412004997</v>
      </c>
      <c r="G1813">
        <v>16.63</v>
      </c>
      <c r="H1813">
        <v>0</v>
      </c>
      <c r="I1813">
        <v>0</v>
      </c>
      <c r="J1813">
        <v>0</v>
      </c>
      <c r="K1813">
        <v>0</v>
      </c>
      <c r="N1813">
        <v>3</v>
      </c>
      <c r="O1813">
        <v>3</v>
      </c>
      <c r="P1813">
        <v>4</v>
      </c>
      <c r="Q1813">
        <v>0</v>
      </c>
      <c r="R1813">
        <v>23.63</v>
      </c>
      <c r="S1813">
        <v>0</v>
      </c>
      <c r="T1813">
        <v>0</v>
      </c>
      <c r="U1813">
        <v>0</v>
      </c>
      <c r="V1813">
        <v>0</v>
      </c>
      <c r="X1813">
        <v>23.63</v>
      </c>
    </row>
    <row r="1814" spans="1:24" ht="15">
      <c r="A1814">
        <v>1807</v>
      </c>
      <c r="B1814">
        <v>74462</v>
      </c>
      <c r="C1814" t="s">
        <v>1030</v>
      </c>
      <c r="D1814" t="s">
        <v>442</v>
      </c>
      <c r="E1814" t="s">
        <v>30</v>
      </c>
      <c r="F1814" t="str">
        <f>"201411001260"</f>
        <v>201411001260</v>
      </c>
      <c r="G1814">
        <v>16.58</v>
      </c>
      <c r="H1814">
        <v>0</v>
      </c>
      <c r="I1814">
        <v>0</v>
      </c>
      <c r="J1814">
        <v>0</v>
      </c>
      <c r="K1814">
        <v>0</v>
      </c>
      <c r="N1814">
        <v>3</v>
      </c>
      <c r="O1814">
        <v>3</v>
      </c>
      <c r="P1814">
        <v>4</v>
      </c>
      <c r="Q1814">
        <v>0</v>
      </c>
      <c r="R1814">
        <v>23.58</v>
      </c>
      <c r="S1814">
        <v>0</v>
      </c>
      <c r="T1814">
        <v>0</v>
      </c>
      <c r="U1814">
        <v>0</v>
      </c>
      <c r="V1814">
        <v>0</v>
      </c>
      <c r="X1814">
        <v>23.58</v>
      </c>
    </row>
    <row r="1815" spans="1:24" ht="15">
      <c r="A1815">
        <v>1808</v>
      </c>
      <c r="B1815">
        <v>60522</v>
      </c>
      <c r="C1815" t="s">
        <v>2062</v>
      </c>
      <c r="D1815" t="s">
        <v>2063</v>
      </c>
      <c r="E1815" t="s">
        <v>1540</v>
      </c>
      <c r="F1815" t="str">
        <f>"00618746"</f>
        <v>00618746</v>
      </c>
      <c r="G1815">
        <v>20.53</v>
      </c>
      <c r="H1815">
        <v>0</v>
      </c>
      <c r="I1815">
        <v>0</v>
      </c>
      <c r="J1815">
        <v>0</v>
      </c>
      <c r="K1815">
        <v>0</v>
      </c>
      <c r="O1815">
        <v>0</v>
      </c>
      <c r="P1815">
        <v>0</v>
      </c>
      <c r="Q1815">
        <v>0</v>
      </c>
      <c r="R1815">
        <v>20.53</v>
      </c>
      <c r="S1815">
        <v>0</v>
      </c>
      <c r="T1815">
        <v>0</v>
      </c>
      <c r="U1815">
        <v>3</v>
      </c>
      <c r="V1815">
        <v>0</v>
      </c>
      <c r="X1815">
        <v>23.53</v>
      </c>
    </row>
    <row r="1816" spans="1:24" ht="15">
      <c r="A1816">
        <v>1809</v>
      </c>
      <c r="B1816">
        <v>28975</v>
      </c>
      <c r="C1816" t="s">
        <v>2065</v>
      </c>
      <c r="D1816" t="s">
        <v>1762</v>
      </c>
      <c r="E1816" t="s">
        <v>27</v>
      </c>
      <c r="F1816" t="str">
        <f>"00607600"</f>
        <v>00607600</v>
      </c>
      <c r="G1816">
        <v>17.5</v>
      </c>
      <c r="H1816">
        <v>0</v>
      </c>
      <c r="I1816">
        <v>0</v>
      </c>
      <c r="J1816">
        <v>0</v>
      </c>
      <c r="K1816">
        <v>0</v>
      </c>
      <c r="O1816">
        <v>0</v>
      </c>
      <c r="P1816">
        <v>0</v>
      </c>
      <c r="Q1816">
        <v>0</v>
      </c>
      <c r="R1816">
        <v>17.5</v>
      </c>
      <c r="S1816">
        <v>0</v>
      </c>
      <c r="T1816">
        <v>0</v>
      </c>
      <c r="U1816">
        <v>6</v>
      </c>
      <c r="V1816">
        <v>0</v>
      </c>
      <c r="X1816">
        <v>23.5</v>
      </c>
    </row>
    <row r="1817" spans="1:24" ht="15">
      <c r="A1817">
        <v>1810</v>
      </c>
      <c r="B1817">
        <v>81187</v>
      </c>
      <c r="C1817" t="s">
        <v>2070</v>
      </c>
      <c r="D1817" t="s">
        <v>46</v>
      </c>
      <c r="E1817" t="s">
        <v>76</v>
      </c>
      <c r="F1817" t="str">
        <f>"00342385"</f>
        <v>00342385</v>
      </c>
      <c r="G1817">
        <v>16.45</v>
      </c>
      <c r="H1817">
        <v>0</v>
      </c>
      <c r="I1817">
        <v>0</v>
      </c>
      <c r="J1817">
        <v>0</v>
      </c>
      <c r="K1817">
        <v>0</v>
      </c>
      <c r="N1817">
        <v>3</v>
      </c>
      <c r="O1817">
        <v>3</v>
      </c>
      <c r="P1817">
        <v>4</v>
      </c>
      <c r="Q1817">
        <v>0</v>
      </c>
      <c r="R1817">
        <v>23.45</v>
      </c>
      <c r="S1817">
        <v>0</v>
      </c>
      <c r="T1817">
        <v>0</v>
      </c>
      <c r="U1817">
        <v>0</v>
      </c>
      <c r="V1817">
        <v>0</v>
      </c>
      <c r="X1817">
        <v>23.45</v>
      </c>
    </row>
    <row r="1818" spans="1:24" ht="15">
      <c r="A1818">
        <v>1811</v>
      </c>
      <c r="B1818">
        <v>40155</v>
      </c>
      <c r="C1818" t="s">
        <v>2071</v>
      </c>
      <c r="D1818" t="s">
        <v>109</v>
      </c>
      <c r="E1818" t="s">
        <v>12</v>
      </c>
      <c r="F1818" t="str">
        <f>"00620279"</f>
        <v>00620279</v>
      </c>
      <c r="G1818">
        <v>19.43</v>
      </c>
      <c r="H1818">
        <v>0</v>
      </c>
      <c r="I1818">
        <v>0</v>
      </c>
      <c r="J1818">
        <v>0</v>
      </c>
      <c r="K1818">
        <v>0</v>
      </c>
      <c r="O1818">
        <v>0</v>
      </c>
      <c r="P1818">
        <v>4</v>
      </c>
      <c r="Q1818">
        <v>0</v>
      </c>
      <c r="R1818">
        <v>23.43</v>
      </c>
      <c r="S1818">
        <v>0</v>
      </c>
      <c r="T1818">
        <v>0</v>
      </c>
      <c r="U1818">
        <v>0</v>
      </c>
      <c r="V1818">
        <v>0</v>
      </c>
      <c r="X1818">
        <v>23.43</v>
      </c>
    </row>
    <row r="1819" spans="1:24" ht="15">
      <c r="A1819">
        <v>1812</v>
      </c>
      <c r="B1819">
        <v>49196</v>
      </c>
      <c r="C1819" t="s">
        <v>2075</v>
      </c>
      <c r="D1819" t="s">
        <v>75</v>
      </c>
      <c r="E1819" t="s">
        <v>12</v>
      </c>
      <c r="F1819" t="str">
        <f>"00009366"</f>
        <v>00009366</v>
      </c>
      <c r="G1819">
        <v>16.4</v>
      </c>
      <c r="H1819">
        <v>0</v>
      </c>
      <c r="I1819">
        <v>0</v>
      </c>
      <c r="J1819">
        <v>0</v>
      </c>
      <c r="K1819">
        <v>0</v>
      </c>
      <c r="N1819">
        <v>3</v>
      </c>
      <c r="O1819">
        <v>3</v>
      </c>
      <c r="P1819">
        <v>4</v>
      </c>
      <c r="Q1819">
        <v>0</v>
      </c>
      <c r="R1819">
        <v>23.4</v>
      </c>
      <c r="S1819">
        <v>0</v>
      </c>
      <c r="T1819">
        <v>0</v>
      </c>
      <c r="U1819">
        <v>0</v>
      </c>
      <c r="V1819">
        <v>0</v>
      </c>
      <c r="X1819">
        <v>23.4</v>
      </c>
    </row>
    <row r="1820" spans="1:24" ht="15">
      <c r="A1820">
        <v>1813</v>
      </c>
      <c r="B1820">
        <v>45586</v>
      </c>
      <c r="C1820" t="s">
        <v>2080</v>
      </c>
      <c r="D1820" t="s">
        <v>53</v>
      </c>
      <c r="E1820" t="s">
        <v>27</v>
      </c>
      <c r="F1820" t="str">
        <f>"00622193"</f>
        <v>00622193</v>
      </c>
      <c r="G1820">
        <v>13.3</v>
      </c>
      <c r="H1820">
        <v>0</v>
      </c>
      <c r="I1820">
        <v>0</v>
      </c>
      <c r="J1820">
        <v>0</v>
      </c>
      <c r="K1820">
        <v>0</v>
      </c>
      <c r="L1820">
        <v>7</v>
      </c>
      <c r="O1820">
        <v>7</v>
      </c>
      <c r="P1820">
        <v>0</v>
      </c>
      <c r="Q1820">
        <v>0</v>
      </c>
      <c r="R1820">
        <v>20.3</v>
      </c>
      <c r="S1820">
        <v>0</v>
      </c>
      <c r="T1820">
        <v>0</v>
      </c>
      <c r="U1820">
        <v>3</v>
      </c>
      <c r="V1820">
        <v>0</v>
      </c>
      <c r="X1820">
        <v>23.3</v>
      </c>
    </row>
    <row r="1821" spans="1:24" ht="15">
      <c r="A1821">
        <v>1814</v>
      </c>
      <c r="B1821">
        <v>74687</v>
      </c>
      <c r="C1821" t="s">
        <v>2087</v>
      </c>
      <c r="D1821" t="s">
        <v>1426</v>
      </c>
      <c r="E1821" t="s">
        <v>53</v>
      </c>
      <c r="F1821" t="str">
        <f>"00222446"</f>
        <v>00222446</v>
      </c>
      <c r="G1821">
        <v>16.23</v>
      </c>
      <c r="H1821">
        <v>0</v>
      </c>
      <c r="I1821">
        <v>0</v>
      </c>
      <c r="J1821">
        <v>0</v>
      </c>
      <c r="K1821">
        <v>0</v>
      </c>
      <c r="N1821">
        <v>3</v>
      </c>
      <c r="O1821">
        <v>3</v>
      </c>
      <c r="P1821">
        <v>4</v>
      </c>
      <c r="Q1821">
        <v>0</v>
      </c>
      <c r="R1821">
        <v>23.23</v>
      </c>
      <c r="S1821">
        <v>0</v>
      </c>
      <c r="T1821">
        <v>0</v>
      </c>
      <c r="U1821">
        <v>0</v>
      </c>
      <c r="V1821">
        <v>0</v>
      </c>
      <c r="X1821">
        <v>23.23</v>
      </c>
    </row>
    <row r="1822" spans="1:24" ht="15">
      <c r="A1822">
        <v>1815</v>
      </c>
      <c r="B1822">
        <v>39726</v>
      </c>
      <c r="C1822" t="s">
        <v>2089</v>
      </c>
      <c r="D1822" t="s">
        <v>30</v>
      </c>
      <c r="E1822" t="s">
        <v>17</v>
      </c>
      <c r="F1822" t="str">
        <f>"201410003959"</f>
        <v>201410003959</v>
      </c>
      <c r="G1822">
        <v>16.23</v>
      </c>
      <c r="H1822">
        <v>0</v>
      </c>
      <c r="I1822">
        <v>0</v>
      </c>
      <c r="J1822">
        <v>0</v>
      </c>
      <c r="K1822">
        <v>0</v>
      </c>
      <c r="N1822">
        <v>3</v>
      </c>
      <c r="O1822">
        <v>3</v>
      </c>
      <c r="P1822">
        <v>4</v>
      </c>
      <c r="Q1822">
        <v>0</v>
      </c>
      <c r="R1822">
        <v>23.23</v>
      </c>
      <c r="S1822">
        <v>0</v>
      </c>
      <c r="T1822">
        <v>0</v>
      </c>
      <c r="U1822">
        <v>0</v>
      </c>
      <c r="V1822">
        <v>0</v>
      </c>
      <c r="X1822">
        <v>23.23</v>
      </c>
    </row>
    <row r="1823" spans="1:24" ht="15">
      <c r="A1823">
        <v>1816</v>
      </c>
      <c r="B1823">
        <v>70067</v>
      </c>
      <c r="C1823" t="s">
        <v>1976</v>
      </c>
      <c r="D1823" t="s">
        <v>421</v>
      </c>
      <c r="E1823" t="s">
        <v>2090</v>
      </c>
      <c r="F1823" t="str">
        <f>"00286361"</f>
        <v>00286361</v>
      </c>
      <c r="G1823">
        <v>16.2</v>
      </c>
      <c r="H1823">
        <v>0</v>
      </c>
      <c r="I1823">
        <v>0</v>
      </c>
      <c r="J1823">
        <v>0</v>
      </c>
      <c r="K1823">
        <v>0</v>
      </c>
      <c r="N1823">
        <v>3</v>
      </c>
      <c r="O1823">
        <v>3</v>
      </c>
      <c r="P1823">
        <v>4</v>
      </c>
      <c r="Q1823">
        <v>0</v>
      </c>
      <c r="R1823">
        <v>23.2</v>
      </c>
      <c r="S1823">
        <v>0</v>
      </c>
      <c r="T1823">
        <v>0</v>
      </c>
      <c r="U1823">
        <v>0</v>
      </c>
      <c r="V1823">
        <v>0</v>
      </c>
      <c r="X1823">
        <v>23.2</v>
      </c>
    </row>
    <row r="1824" spans="1:24" ht="15">
      <c r="A1824">
        <v>1817</v>
      </c>
      <c r="B1824">
        <v>70080</v>
      </c>
      <c r="C1824" t="s">
        <v>506</v>
      </c>
      <c r="D1824" t="s">
        <v>1124</v>
      </c>
      <c r="E1824" t="s">
        <v>124</v>
      </c>
      <c r="F1824" t="str">
        <f>"00607688"</f>
        <v>00607688</v>
      </c>
      <c r="G1824">
        <v>16.18</v>
      </c>
      <c r="H1824">
        <v>0</v>
      </c>
      <c r="I1824">
        <v>0</v>
      </c>
      <c r="J1824">
        <v>0</v>
      </c>
      <c r="K1824">
        <v>0</v>
      </c>
      <c r="L1824">
        <v>7</v>
      </c>
      <c r="O1824">
        <v>7</v>
      </c>
      <c r="P1824">
        <v>0</v>
      </c>
      <c r="Q1824">
        <v>0</v>
      </c>
      <c r="R1824">
        <v>23.18</v>
      </c>
      <c r="S1824">
        <v>0</v>
      </c>
      <c r="T1824">
        <v>0</v>
      </c>
      <c r="U1824">
        <v>0</v>
      </c>
      <c r="V1824">
        <v>0</v>
      </c>
      <c r="X1824">
        <v>23.18</v>
      </c>
    </row>
    <row r="1825" spans="1:24" ht="15">
      <c r="A1825">
        <v>1818</v>
      </c>
      <c r="B1825">
        <v>81586</v>
      </c>
      <c r="C1825" t="s">
        <v>2091</v>
      </c>
      <c r="D1825" t="s">
        <v>91</v>
      </c>
      <c r="E1825" t="s">
        <v>21</v>
      </c>
      <c r="F1825" t="str">
        <f>"00230938"</f>
        <v>00230938</v>
      </c>
      <c r="G1825">
        <v>16.15</v>
      </c>
      <c r="H1825">
        <v>0</v>
      </c>
      <c r="I1825">
        <v>0</v>
      </c>
      <c r="J1825">
        <v>0</v>
      </c>
      <c r="K1825">
        <v>0</v>
      </c>
      <c r="N1825">
        <v>3</v>
      </c>
      <c r="O1825">
        <v>3</v>
      </c>
      <c r="P1825">
        <v>4</v>
      </c>
      <c r="Q1825">
        <v>0</v>
      </c>
      <c r="R1825">
        <v>23.15</v>
      </c>
      <c r="S1825">
        <v>0</v>
      </c>
      <c r="T1825">
        <v>0</v>
      </c>
      <c r="U1825">
        <v>0</v>
      </c>
      <c r="V1825">
        <v>0</v>
      </c>
      <c r="X1825">
        <v>23.15</v>
      </c>
    </row>
    <row r="1826" spans="1:24" ht="15">
      <c r="A1826">
        <v>1819</v>
      </c>
      <c r="B1826">
        <v>64585</v>
      </c>
      <c r="C1826" t="s">
        <v>2097</v>
      </c>
      <c r="D1826" t="s">
        <v>186</v>
      </c>
      <c r="E1826" t="s">
        <v>24</v>
      </c>
      <c r="F1826" t="str">
        <f>"00609368"</f>
        <v>00609368</v>
      </c>
      <c r="G1826">
        <v>16.05</v>
      </c>
      <c r="H1826">
        <v>0</v>
      </c>
      <c r="I1826">
        <v>0</v>
      </c>
      <c r="J1826">
        <v>0</v>
      </c>
      <c r="K1826">
        <v>0</v>
      </c>
      <c r="O1826">
        <v>0</v>
      </c>
      <c r="P1826">
        <v>4</v>
      </c>
      <c r="Q1826">
        <v>0</v>
      </c>
      <c r="R1826">
        <v>20.05</v>
      </c>
      <c r="S1826">
        <v>0</v>
      </c>
      <c r="T1826">
        <v>0</v>
      </c>
      <c r="U1826">
        <v>3</v>
      </c>
      <c r="V1826">
        <v>0</v>
      </c>
      <c r="X1826">
        <v>23.05</v>
      </c>
    </row>
    <row r="1827" spans="1:24" ht="15">
      <c r="A1827">
        <v>1820</v>
      </c>
      <c r="B1827">
        <v>19222</v>
      </c>
      <c r="C1827" t="s">
        <v>2098</v>
      </c>
      <c r="D1827" t="s">
        <v>1762</v>
      </c>
      <c r="E1827" t="s">
        <v>53</v>
      </c>
      <c r="F1827" t="str">
        <f>"00603336"</f>
        <v>00603336</v>
      </c>
      <c r="G1827">
        <v>16.05</v>
      </c>
      <c r="H1827">
        <v>0</v>
      </c>
      <c r="I1827">
        <v>0</v>
      </c>
      <c r="J1827">
        <v>0</v>
      </c>
      <c r="K1827">
        <v>0</v>
      </c>
      <c r="N1827">
        <v>3</v>
      </c>
      <c r="O1827">
        <v>3</v>
      </c>
      <c r="P1827">
        <v>4</v>
      </c>
      <c r="Q1827">
        <v>0</v>
      </c>
      <c r="R1827">
        <v>23.05</v>
      </c>
      <c r="S1827">
        <v>0</v>
      </c>
      <c r="T1827">
        <v>0</v>
      </c>
      <c r="U1827">
        <v>0</v>
      </c>
      <c r="V1827">
        <v>0</v>
      </c>
      <c r="X1827">
        <v>23.05</v>
      </c>
    </row>
    <row r="1828" spans="1:24" ht="15">
      <c r="A1828">
        <v>1821</v>
      </c>
      <c r="B1828">
        <v>97438</v>
      </c>
      <c r="C1828" t="s">
        <v>2101</v>
      </c>
      <c r="D1828" t="s">
        <v>30</v>
      </c>
      <c r="E1828" t="s">
        <v>12</v>
      </c>
      <c r="F1828" t="str">
        <f>"00313422"</f>
        <v>00313422</v>
      </c>
      <c r="G1828">
        <v>15.95</v>
      </c>
      <c r="H1828">
        <v>0</v>
      </c>
      <c r="I1828">
        <v>0</v>
      </c>
      <c r="J1828">
        <v>0</v>
      </c>
      <c r="K1828">
        <v>0</v>
      </c>
      <c r="N1828">
        <v>3</v>
      </c>
      <c r="O1828">
        <v>3</v>
      </c>
      <c r="P1828">
        <v>4</v>
      </c>
      <c r="Q1828">
        <v>0</v>
      </c>
      <c r="R1828">
        <v>22.95</v>
      </c>
      <c r="S1828">
        <v>0</v>
      </c>
      <c r="T1828">
        <v>0</v>
      </c>
      <c r="U1828">
        <v>0</v>
      </c>
      <c r="V1828">
        <v>0</v>
      </c>
      <c r="X1828">
        <v>22.95</v>
      </c>
    </row>
    <row r="1829" spans="1:24" ht="15">
      <c r="A1829">
        <v>1822</v>
      </c>
      <c r="B1829">
        <v>91990</v>
      </c>
      <c r="C1829" t="s">
        <v>2102</v>
      </c>
      <c r="D1829" t="s">
        <v>512</v>
      </c>
      <c r="E1829" t="s">
        <v>113</v>
      </c>
      <c r="F1829" t="str">
        <f>"00631015"</f>
        <v>00631015</v>
      </c>
      <c r="G1829">
        <v>16.9</v>
      </c>
      <c r="H1829">
        <v>0</v>
      </c>
      <c r="I1829">
        <v>0</v>
      </c>
      <c r="J1829">
        <v>0</v>
      </c>
      <c r="K1829">
        <v>0</v>
      </c>
      <c r="N1829">
        <v>3</v>
      </c>
      <c r="O1829">
        <v>3</v>
      </c>
      <c r="P1829">
        <v>0</v>
      </c>
      <c r="Q1829">
        <v>0</v>
      </c>
      <c r="R1829">
        <v>19.9</v>
      </c>
      <c r="S1829">
        <v>0</v>
      </c>
      <c r="T1829">
        <v>0</v>
      </c>
      <c r="U1829">
        <v>3</v>
      </c>
      <c r="V1829">
        <v>0</v>
      </c>
      <c r="X1829">
        <v>22.9</v>
      </c>
    </row>
    <row r="1830" spans="1:24" ht="15">
      <c r="A1830">
        <v>1823</v>
      </c>
      <c r="B1830">
        <v>64791</v>
      </c>
      <c r="C1830" t="s">
        <v>2103</v>
      </c>
      <c r="D1830" t="s">
        <v>44</v>
      </c>
      <c r="E1830" t="s">
        <v>106</v>
      </c>
      <c r="F1830" t="str">
        <f>"201504005356"</f>
        <v>201504005356</v>
      </c>
      <c r="G1830">
        <v>15.85</v>
      </c>
      <c r="H1830">
        <v>0</v>
      </c>
      <c r="I1830">
        <v>0</v>
      </c>
      <c r="J1830">
        <v>0</v>
      </c>
      <c r="K1830">
        <v>0</v>
      </c>
      <c r="N1830">
        <v>3</v>
      </c>
      <c r="O1830">
        <v>3</v>
      </c>
      <c r="P1830">
        <v>4</v>
      </c>
      <c r="Q1830">
        <v>0</v>
      </c>
      <c r="R1830">
        <v>22.85</v>
      </c>
      <c r="S1830">
        <v>0</v>
      </c>
      <c r="T1830">
        <v>0</v>
      </c>
      <c r="U1830">
        <v>0</v>
      </c>
      <c r="V1830">
        <v>0</v>
      </c>
      <c r="X1830">
        <v>22.85</v>
      </c>
    </row>
    <row r="1831" spans="1:24" ht="15">
      <c r="A1831">
        <v>1824</v>
      </c>
      <c r="B1831">
        <v>36084</v>
      </c>
      <c r="C1831" t="s">
        <v>1746</v>
      </c>
      <c r="D1831" t="s">
        <v>124</v>
      </c>
      <c r="E1831" t="s">
        <v>27</v>
      </c>
      <c r="F1831" t="str">
        <f>"00296294"</f>
        <v>00296294</v>
      </c>
      <c r="G1831">
        <v>15.78</v>
      </c>
      <c r="H1831">
        <v>0</v>
      </c>
      <c r="I1831">
        <v>0</v>
      </c>
      <c r="J1831">
        <v>0</v>
      </c>
      <c r="K1831">
        <v>0</v>
      </c>
      <c r="N1831">
        <v>3</v>
      </c>
      <c r="O1831">
        <v>3</v>
      </c>
      <c r="P1831">
        <v>4</v>
      </c>
      <c r="Q1831">
        <v>0</v>
      </c>
      <c r="R1831">
        <v>22.78</v>
      </c>
      <c r="S1831">
        <v>0</v>
      </c>
      <c r="T1831">
        <v>0</v>
      </c>
      <c r="U1831">
        <v>0</v>
      </c>
      <c r="V1831">
        <v>0</v>
      </c>
      <c r="X1831">
        <v>22.78</v>
      </c>
    </row>
    <row r="1832" spans="1:24" ht="15">
      <c r="A1832">
        <v>1825</v>
      </c>
      <c r="B1832">
        <v>99379</v>
      </c>
      <c r="C1832" t="s">
        <v>2107</v>
      </c>
      <c r="D1832" t="s">
        <v>201</v>
      </c>
      <c r="E1832" t="s">
        <v>17</v>
      </c>
      <c r="F1832" t="str">
        <f>"00628002"</f>
        <v>00628002</v>
      </c>
      <c r="G1832">
        <v>15.78</v>
      </c>
      <c r="H1832">
        <v>0</v>
      </c>
      <c r="I1832">
        <v>0</v>
      </c>
      <c r="J1832">
        <v>0</v>
      </c>
      <c r="K1832">
        <v>0</v>
      </c>
      <c r="N1832">
        <v>3</v>
      </c>
      <c r="O1832">
        <v>3</v>
      </c>
      <c r="P1832">
        <v>4</v>
      </c>
      <c r="Q1832">
        <v>0</v>
      </c>
      <c r="R1832">
        <v>22.78</v>
      </c>
      <c r="S1832">
        <v>0</v>
      </c>
      <c r="T1832">
        <v>0</v>
      </c>
      <c r="U1832">
        <v>0</v>
      </c>
      <c r="V1832">
        <v>0</v>
      </c>
      <c r="X1832">
        <v>22.78</v>
      </c>
    </row>
    <row r="1833" spans="1:24" ht="15">
      <c r="A1833">
        <v>1826</v>
      </c>
      <c r="B1833">
        <v>12886</v>
      </c>
      <c r="C1833" t="s">
        <v>2109</v>
      </c>
      <c r="D1833" t="s">
        <v>201</v>
      </c>
      <c r="E1833" t="s">
        <v>76</v>
      </c>
      <c r="F1833" t="str">
        <f>"00603541"</f>
        <v>00603541</v>
      </c>
      <c r="G1833">
        <v>15.75</v>
      </c>
      <c r="H1833">
        <v>0</v>
      </c>
      <c r="I1833">
        <v>0</v>
      </c>
      <c r="J1833">
        <v>0</v>
      </c>
      <c r="K1833">
        <v>0</v>
      </c>
      <c r="O1833">
        <v>0</v>
      </c>
      <c r="P1833">
        <v>4</v>
      </c>
      <c r="Q1833">
        <v>0</v>
      </c>
      <c r="R1833">
        <v>19.75</v>
      </c>
      <c r="S1833">
        <v>0</v>
      </c>
      <c r="T1833">
        <v>0</v>
      </c>
      <c r="U1833">
        <v>3</v>
      </c>
      <c r="V1833">
        <v>0</v>
      </c>
      <c r="X1833">
        <v>22.75</v>
      </c>
    </row>
    <row r="1834" spans="1:24" ht="15">
      <c r="A1834">
        <v>1827</v>
      </c>
      <c r="B1834">
        <v>46317</v>
      </c>
      <c r="C1834" t="s">
        <v>2110</v>
      </c>
      <c r="D1834" t="s">
        <v>873</v>
      </c>
      <c r="E1834" t="s">
        <v>1568</v>
      </c>
      <c r="F1834" t="str">
        <f>"00561089"</f>
        <v>00561089</v>
      </c>
      <c r="G1834">
        <v>15.75</v>
      </c>
      <c r="H1834">
        <v>0</v>
      </c>
      <c r="I1834">
        <v>0</v>
      </c>
      <c r="J1834">
        <v>0</v>
      </c>
      <c r="K1834">
        <v>0</v>
      </c>
      <c r="N1834">
        <v>3</v>
      </c>
      <c r="O1834">
        <v>3</v>
      </c>
      <c r="P1834">
        <v>4</v>
      </c>
      <c r="Q1834">
        <v>0</v>
      </c>
      <c r="R1834">
        <v>22.75</v>
      </c>
      <c r="S1834">
        <v>0</v>
      </c>
      <c r="T1834">
        <v>0</v>
      </c>
      <c r="U1834">
        <v>0</v>
      </c>
      <c r="V1834">
        <v>0</v>
      </c>
      <c r="X1834">
        <v>22.75</v>
      </c>
    </row>
    <row r="1835" spans="1:24" ht="15">
      <c r="A1835">
        <v>1828</v>
      </c>
      <c r="B1835">
        <v>106058</v>
      </c>
      <c r="C1835" t="s">
        <v>435</v>
      </c>
      <c r="D1835" t="s">
        <v>88</v>
      </c>
      <c r="E1835" t="s">
        <v>17</v>
      </c>
      <c r="F1835" t="str">
        <f>"00002554"</f>
        <v>00002554</v>
      </c>
      <c r="G1835">
        <v>15.75</v>
      </c>
      <c r="H1835">
        <v>0</v>
      </c>
      <c r="I1835">
        <v>0</v>
      </c>
      <c r="J1835">
        <v>0</v>
      </c>
      <c r="K1835">
        <v>0</v>
      </c>
      <c r="N1835">
        <v>3</v>
      </c>
      <c r="O1835">
        <v>3</v>
      </c>
      <c r="P1835">
        <v>4</v>
      </c>
      <c r="Q1835">
        <v>0</v>
      </c>
      <c r="R1835">
        <v>22.75</v>
      </c>
      <c r="S1835">
        <v>0</v>
      </c>
      <c r="T1835">
        <v>0</v>
      </c>
      <c r="U1835">
        <v>0</v>
      </c>
      <c r="V1835">
        <v>0</v>
      </c>
      <c r="X1835">
        <v>22.75</v>
      </c>
    </row>
    <row r="1836" spans="1:24" ht="15">
      <c r="A1836">
        <v>1829</v>
      </c>
      <c r="B1836">
        <v>87466</v>
      </c>
      <c r="C1836" t="s">
        <v>2113</v>
      </c>
      <c r="D1836" t="s">
        <v>24</v>
      </c>
      <c r="E1836" t="s">
        <v>21</v>
      </c>
      <c r="F1836" t="str">
        <f>"201507000826"</f>
        <v>201507000826</v>
      </c>
      <c r="G1836">
        <v>15.68</v>
      </c>
      <c r="H1836">
        <v>0</v>
      </c>
      <c r="I1836">
        <v>0</v>
      </c>
      <c r="J1836">
        <v>0</v>
      </c>
      <c r="K1836">
        <v>0</v>
      </c>
      <c r="O1836">
        <v>0</v>
      </c>
      <c r="P1836">
        <v>4</v>
      </c>
      <c r="Q1836">
        <v>0</v>
      </c>
      <c r="R1836">
        <v>19.68</v>
      </c>
      <c r="S1836">
        <v>0</v>
      </c>
      <c r="T1836">
        <v>0</v>
      </c>
      <c r="U1836">
        <v>3</v>
      </c>
      <c r="V1836">
        <v>0</v>
      </c>
      <c r="X1836">
        <v>22.68</v>
      </c>
    </row>
    <row r="1837" spans="1:24" ht="15">
      <c r="A1837">
        <v>1830</v>
      </c>
      <c r="B1837">
        <v>105234</v>
      </c>
      <c r="C1837" t="s">
        <v>2114</v>
      </c>
      <c r="D1837" t="s">
        <v>1089</v>
      </c>
      <c r="E1837" t="s">
        <v>27</v>
      </c>
      <c r="F1837" t="str">
        <f>"00544412"</f>
        <v>00544412</v>
      </c>
      <c r="G1837">
        <v>18.68</v>
      </c>
      <c r="H1837">
        <v>0</v>
      </c>
      <c r="I1837">
        <v>0</v>
      </c>
      <c r="J1837">
        <v>0</v>
      </c>
      <c r="K1837">
        <v>0</v>
      </c>
      <c r="O1837">
        <v>0</v>
      </c>
      <c r="P1837">
        <v>4</v>
      </c>
      <c r="Q1837">
        <v>0</v>
      </c>
      <c r="R1837">
        <v>22.68</v>
      </c>
      <c r="S1837">
        <v>0</v>
      </c>
      <c r="T1837">
        <v>0</v>
      </c>
      <c r="U1837">
        <v>0</v>
      </c>
      <c r="V1837">
        <v>0</v>
      </c>
      <c r="X1837">
        <v>22.68</v>
      </c>
    </row>
    <row r="1838" spans="1:24" ht="15">
      <c r="A1838">
        <v>1831</v>
      </c>
      <c r="B1838">
        <v>26964</v>
      </c>
      <c r="C1838" t="s">
        <v>2115</v>
      </c>
      <c r="D1838" t="s">
        <v>155</v>
      </c>
      <c r="E1838" t="s">
        <v>12</v>
      </c>
      <c r="F1838" t="str">
        <f>"201506001672"</f>
        <v>201506001672</v>
      </c>
      <c r="G1838">
        <v>16.65</v>
      </c>
      <c r="H1838">
        <v>0</v>
      </c>
      <c r="I1838">
        <v>0</v>
      </c>
      <c r="J1838">
        <v>0</v>
      </c>
      <c r="K1838">
        <v>0</v>
      </c>
      <c r="O1838">
        <v>0</v>
      </c>
      <c r="P1838">
        <v>0</v>
      </c>
      <c r="Q1838">
        <v>0</v>
      </c>
      <c r="R1838">
        <v>16.65</v>
      </c>
      <c r="S1838">
        <v>0</v>
      </c>
      <c r="T1838">
        <v>0</v>
      </c>
      <c r="U1838">
        <v>6</v>
      </c>
      <c r="V1838">
        <v>0</v>
      </c>
      <c r="X1838">
        <v>22.65</v>
      </c>
    </row>
    <row r="1839" spans="1:24" ht="15">
      <c r="A1839">
        <v>1832</v>
      </c>
      <c r="B1839">
        <v>59492</v>
      </c>
      <c r="C1839" t="s">
        <v>2116</v>
      </c>
      <c r="D1839" t="s">
        <v>97</v>
      </c>
      <c r="E1839" t="s">
        <v>17</v>
      </c>
      <c r="F1839" t="str">
        <f>"00515744"</f>
        <v>00515744</v>
      </c>
      <c r="G1839">
        <v>15.65</v>
      </c>
      <c r="H1839">
        <v>0</v>
      </c>
      <c r="I1839">
        <v>0</v>
      </c>
      <c r="J1839">
        <v>0</v>
      </c>
      <c r="K1839">
        <v>0</v>
      </c>
      <c r="O1839">
        <v>0</v>
      </c>
      <c r="P1839">
        <v>4</v>
      </c>
      <c r="Q1839">
        <v>0</v>
      </c>
      <c r="R1839">
        <v>19.65</v>
      </c>
      <c r="S1839">
        <v>0</v>
      </c>
      <c r="T1839">
        <v>0</v>
      </c>
      <c r="U1839">
        <v>3</v>
      </c>
      <c r="V1839">
        <v>0</v>
      </c>
      <c r="X1839">
        <v>22.65</v>
      </c>
    </row>
    <row r="1840" spans="1:24" ht="15">
      <c r="A1840">
        <v>1833</v>
      </c>
      <c r="B1840">
        <v>16755</v>
      </c>
      <c r="C1840" t="s">
        <v>2119</v>
      </c>
      <c r="D1840" t="s">
        <v>1511</v>
      </c>
      <c r="E1840" t="s">
        <v>284</v>
      </c>
      <c r="F1840" t="str">
        <f>"00543484"</f>
        <v>00543484</v>
      </c>
      <c r="G1840">
        <v>15.63</v>
      </c>
      <c r="H1840">
        <v>0</v>
      </c>
      <c r="I1840">
        <v>0</v>
      </c>
      <c r="J1840">
        <v>0</v>
      </c>
      <c r="K1840">
        <v>0</v>
      </c>
      <c r="N1840">
        <v>3</v>
      </c>
      <c r="O1840">
        <v>3</v>
      </c>
      <c r="P1840">
        <v>4</v>
      </c>
      <c r="Q1840">
        <v>0</v>
      </c>
      <c r="R1840">
        <v>22.63</v>
      </c>
      <c r="S1840">
        <v>0</v>
      </c>
      <c r="T1840">
        <v>0</v>
      </c>
      <c r="U1840">
        <v>0</v>
      </c>
      <c r="V1840">
        <v>0</v>
      </c>
      <c r="X1840">
        <v>22.63</v>
      </c>
    </row>
    <row r="1841" spans="1:24" ht="15">
      <c r="A1841">
        <v>1834</v>
      </c>
      <c r="B1841">
        <v>101525</v>
      </c>
      <c r="C1841" t="s">
        <v>2120</v>
      </c>
      <c r="D1841" t="s">
        <v>2121</v>
      </c>
      <c r="E1841" t="s">
        <v>12</v>
      </c>
      <c r="F1841" t="str">
        <f>"00225962"</f>
        <v>00225962</v>
      </c>
      <c r="G1841">
        <v>15.58</v>
      </c>
      <c r="H1841">
        <v>0</v>
      </c>
      <c r="I1841">
        <v>0</v>
      </c>
      <c r="J1841">
        <v>0</v>
      </c>
      <c r="K1841">
        <v>0</v>
      </c>
      <c r="N1841">
        <v>3</v>
      </c>
      <c r="O1841">
        <v>3</v>
      </c>
      <c r="P1841">
        <v>4</v>
      </c>
      <c r="Q1841">
        <v>0</v>
      </c>
      <c r="R1841">
        <v>22.58</v>
      </c>
      <c r="S1841">
        <v>0</v>
      </c>
      <c r="T1841">
        <v>0</v>
      </c>
      <c r="U1841">
        <v>0</v>
      </c>
      <c r="V1841">
        <v>0</v>
      </c>
      <c r="X1841">
        <v>22.58</v>
      </c>
    </row>
    <row r="1842" spans="1:24" ht="15">
      <c r="A1842">
        <v>1835</v>
      </c>
      <c r="B1842">
        <v>113553</v>
      </c>
      <c r="C1842" t="s">
        <v>2125</v>
      </c>
      <c r="D1842" t="s">
        <v>288</v>
      </c>
      <c r="E1842" t="s">
        <v>23</v>
      </c>
      <c r="F1842" t="str">
        <f>"00632842"</f>
        <v>00632842</v>
      </c>
      <c r="G1842">
        <v>18.5</v>
      </c>
      <c r="H1842">
        <v>0</v>
      </c>
      <c r="I1842">
        <v>0</v>
      </c>
      <c r="J1842">
        <v>0</v>
      </c>
      <c r="K1842">
        <v>0</v>
      </c>
      <c r="O1842">
        <v>0</v>
      </c>
      <c r="P1842">
        <v>4</v>
      </c>
      <c r="Q1842">
        <v>0</v>
      </c>
      <c r="R1842">
        <v>22.5</v>
      </c>
      <c r="S1842">
        <v>0</v>
      </c>
      <c r="T1842">
        <v>0</v>
      </c>
      <c r="U1842">
        <v>0</v>
      </c>
      <c r="V1842">
        <v>0</v>
      </c>
      <c r="X1842">
        <v>22.5</v>
      </c>
    </row>
    <row r="1843" spans="1:24" ht="15">
      <c r="A1843">
        <v>1836</v>
      </c>
      <c r="B1843">
        <v>65534</v>
      </c>
      <c r="C1843" t="s">
        <v>2126</v>
      </c>
      <c r="D1843" t="s">
        <v>17</v>
      </c>
      <c r="E1843" t="s">
        <v>12</v>
      </c>
      <c r="F1843" t="str">
        <f>"00344072"</f>
        <v>00344072</v>
      </c>
      <c r="G1843">
        <v>15.5</v>
      </c>
      <c r="H1843">
        <v>0</v>
      </c>
      <c r="I1843">
        <v>0</v>
      </c>
      <c r="J1843">
        <v>0</v>
      </c>
      <c r="K1843">
        <v>0</v>
      </c>
      <c r="N1843">
        <v>3</v>
      </c>
      <c r="O1843">
        <v>3</v>
      </c>
      <c r="P1843">
        <v>4</v>
      </c>
      <c r="Q1843">
        <v>0</v>
      </c>
      <c r="R1843">
        <v>22.5</v>
      </c>
      <c r="S1843">
        <v>0</v>
      </c>
      <c r="T1843">
        <v>0</v>
      </c>
      <c r="U1843">
        <v>0</v>
      </c>
      <c r="V1843">
        <v>0</v>
      </c>
      <c r="X1843">
        <v>22.5</v>
      </c>
    </row>
    <row r="1844" spans="1:24" ht="15">
      <c r="A1844">
        <v>1837</v>
      </c>
      <c r="B1844">
        <v>98042</v>
      </c>
      <c r="C1844" t="s">
        <v>2129</v>
      </c>
      <c r="D1844" t="s">
        <v>111</v>
      </c>
      <c r="E1844" t="s">
        <v>273</v>
      </c>
      <c r="F1844" t="str">
        <f>"00580626"</f>
        <v>00580626</v>
      </c>
      <c r="G1844">
        <v>15.43</v>
      </c>
      <c r="H1844">
        <v>0</v>
      </c>
      <c r="I1844">
        <v>0</v>
      </c>
      <c r="J1844">
        <v>0</v>
      </c>
      <c r="K1844">
        <v>0</v>
      </c>
      <c r="N1844">
        <v>3</v>
      </c>
      <c r="O1844">
        <v>3</v>
      </c>
      <c r="P1844">
        <v>4</v>
      </c>
      <c r="Q1844">
        <v>0</v>
      </c>
      <c r="R1844">
        <v>22.43</v>
      </c>
      <c r="S1844">
        <v>0</v>
      </c>
      <c r="T1844">
        <v>0</v>
      </c>
      <c r="U1844">
        <v>0</v>
      </c>
      <c r="V1844">
        <v>0</v>
      </c>
      <c r="X1844">
        <v>22.43</v>
      </c>
    </row>
    <row r="1845" spans="1:24" ht="15">
      <c r="A1845">
        <v>1838</v>
      </c>
      <c r="B1845">
        <v>63993</v>
      </c>
      <c r="C1845" t="s">
        <v>2130</v>
      </c>
      <c r="D1845" t="s">
        <v>461</v>
      </c>
      <c r="E1845" t="s">
        <v>76</v>
      </c>
      <c r="F1845" t="str">
        <f>"201410000973"</f>
        <v>201410000973</v>
      </c>
      <c r="G1845">
        <v>15.4</v>
      </c>
      <c r="H1845">
        <v>0</v>
      </c>
      <c r="I1845">
        <v>0</v>
      </c>
      <c r="J1845">
        <v>0</v>
      </c>
      <c r="K1845">
        <v>0</v>
      </c>
      <c r="N1845">
        <v>3</v>
      </c>
      <c r="O1845">
        <v>3</v>
      </c>
      <c r="P1845">
        <v>4</v>
      </c>
      <c r="Q1845">
        <v>0</v>
      </c>
      <c r="R1845">
        <v>22.4</v>
      </c>
      <c r="S1845">
        <v>0</v>
      </c>
      <c r="T1845">
        <v>0</v>
      </c>
      <c r="U1845">
        <v>0</v>
      </c>
      <c r="V1845">
        <v>0</v>
      </c>
      <c r="X1845">
        <v>22.4</v>
      </c>
    </row>
    <row r="1846" spans="1:24" ht="15">
      <c r="A1846">
        <v>1839</v>
      </c>
      <c r="B1846">
        <v>79042</v>
      </c>
      <c r="C1846" t="s">
        <v>829</v>
      </c>
      <c r="D1846" t="s">
        <v>76</v>
      </c>
      <c r="E1846" t="s">
        <v>23</v>
      </c>
      <c r="F1846" t="str">
        <f>"201102001080"</f>
        <v>201102001080</v>
      </c>
      <c r="G1846">
        <v>15.33</v>
      </c>
      <c r="H1846">
        <v>0</v>
      </c>
      <c r="I1846">
        <v>0</v>
      </c>
      <c r="J1846">
        <v>0</v>
      </c>
      <c r="K1846">
        <v>0</v>
      </c>
      <c r="O1846">
        <v>0</v>
      </c>
      <c r="P1846">
        <v>4</v>
      </c>
      <c r="Q1846">
        <v>0</v>
      </c>
      <c r="R1846">
        <v>19.33</v>
      </c>
      <c r="S1846">
        <v>0</v>
      </c>
      <c r="T1846">
        <v>0</v>
      </c>
      <c r="U1846">
        <v>3</v>
      </c>
      <c r="V1846">
        <v>0</v>
      </c>
      <c r="X1846">
        <v>22.33</v>
      </c>
    </row>
    <row r="1847" spans="1:24" ht="15">
      <c r="A1847">
        <v>1840</v>
      </c>
      <c r="B1847">
        <v>104036</v>
      </c>
      <c r="C1847" t="s">
        <v>241</v>
      </c>
      <c r="D1847" t="s">
        <v>683</v>
      </c>
      <c r="E1847" t="s">
        <v>353</v>
      </c>
      <c r="F1847" t="str">
        <f>"00600613"</f>
        <v>00600613</v>
      </c>
      <c r="G1847">
        <v>15.28</v>
      </c>
      <c r="H1847">
        <v>0</v>
      </c>
      <c r="I1847">
        <v>0</v>
      </c>
      <c r="J1847">
        <v>0</v>
      </c>
      <c r="K1847">
        <v>0</v>
      </c>
      <c r="O1847">
        <v>0</v>
      </c>
      <c r="P1847">
        <v>4</v>
      </c>
      <c r="Q1847">
        <v>0</v>
      </c>
      <c r="R1847">
        <v>19.28</v>
      </c>
      <c r="S1847">
        <v>0</v>
      </c>
      <c r="T1847">
        <v>0</v>
      </c>
      <c r="U1847">
        <v>3</v>
      </c>
      <c r="V1847">
        <v>0</v>
      </c>
      <c r="X1847">
        <v>22.28</v>
      </c>
    </row>
    <row r="1848" spans="1:24" ht="15">
      <c r="A1848">
        <v>1841</v>
      </c>
      <c r="B1848">
        <v>19482</v>
      </c>
      <c r="C1848" t="s">
        <v>2133</v>
      </c>
      <c r="D1848" t="s">
        <v>41</v>
      </c>
      <c r="E1848" t="s">
        <v>124</v>
      </c>
      <c r="F1848" t="str">
        <f>"00565342"</f>
        <v>00565342</v>
      </c>
      <c r="G1848">
        <v>15.28</v>
      </c>
      <c r="H1848">
        <v>0</v>
      </c>
      <c r="I1848">
        <v>0</v>
      </c>
      <c r="J1848">
        <v>0</v>
      </c>
      <c r="K1848">
        <v>0</v>
      </c>
      <c r="O1848">
        <v>0</v>
      </c>
      <c r="P1848">
        <v>4</v>
      </c>
      <c r="Q1848">
        <v>0</v>
      </c>
      <c r="R1848">
        <v>19.28</v>
      </c>
      <c r="S1848">
        <v>0</v>
      </c>
      <c r="T1848">
        <v>0</v>
      </c>
      <c r="U1848">
        <v>3</v>
      </c>
      <c r="V1848">
        <v>0</v>
      </c>
      <c r="X1848">
        <v>22.28</v>
      </c>
    </row>
    <row r="1849" spans="1:24" ht="15">
      <c r="A1849">
        <v>1842</v>
      </c>
      <c r="B1849">
        <v>81946</v>
      </c>
      <c r="C1849" t="s">
        <v>2135</v>
      </c>
      <c r="D1849" t="s">
        <v>442</v>
      </c>
      <c r="E1849" t="s">
        <v>148</v>
      </c>
      <c r="F1849" t="str">
        <f>"00640817"</f>
        <v>00640817</v>
      </c>
      <c r="G1849">
        <v>22.23</v>
      </c>
      <c r="H1849">
        <v>0</v>
      </c>
      <c r="I1849">
        <v>0</v>
      </c>
      <c r="J1849">
        <v>0</v>
      </c>
      <c r="K1849">
        <v>0</v>
      </c>
      <c r="O1849">
        <v>0</v>
      </c>
      <c r="P1849">
        <v>0</v>
      </c>
      <c r="Q1849">
        <v>0</v>
      </c>
      <c r="R1849">
        <v>22.23</v>
      </c>
      <c r="S1849">
        <v>0</v>
      </c>
      <c r="T1849">
        <v>0</v>
      </c>
      <c r="U1849">
        <v>0</v>
      </c>
      <c r="V1849">
        <v>0</v>
      </c>
      <c r="X1849">
        <v>22.23</v>
      </c>
    </row>
    <row r="1850" spans="1:24" ht="15">
      <c r="A1850">
        <v>1843</v>
      </c>
      <c r="B1850">
        <v>5490</v>
      </c>
      <c r="C1850" t="s">
        <v>2136</v>
      </c>
      <c r="D1850" t="s">
        <v>2137</v>
      </c>
      <c r="E1850" t="s">
        <v>2138</v>
      </c>
      <c r="F1850" t="str">
        <f>"00257327"</f>
        <v>00257327</v>
      </c>
      <c r="G1850">
        <v>15.15</v>
      </c>
      <c r="H1850">
        <v>0</v>
      </c>
      <c r="I1850">
        <v>0</v>
      </c>
      <c r="J1850">
        <v>0</v>
      </c>
      <c r="K1850">
        <v>0</v>
      </c>
      <c r="O1850">
        <v>0</v>
      </c>
      <c r="P1850">
        <v>4</v>
      </c>
      <c r="Q1850">
        <v>0</v>
      </c>
      <c r="R1850">
        <v>19.15</v>
      </c>
      <c r="S1850">
        <v>0</v>
      </c>
      <c r="T1850">
        <v>0</v>
      </c>
      <c r="U1850">
        <v>3</v>
      </c>
      <c r="V1850">
        <v>0</v>
      </c>
      <c r="X1850">
        <v>22.15</v>
      </c>
    </row>
    <row r="1851" spans="1:24" ht="15">
      <c r="A1851">
        <v>1844</v>
      </c>
      <c r="B1851">
        <v>14750</v>
      </c>
      <c r="C1851" t="s">
        <v>2139</v>
      </c>
      <c r="D1851" t="s">
        <v>12</v>
      </c>
      <c r="E1851" t="s">
        <v>17</v>
      </c>
      <c r="F1851" t="str">
        <f>"00563815"</f>
        <v>00563815</v>
      </c>
      <c r="G1851">
        <v>15.13</v>
      </c>
      <c r="H1851">
        <v>0</v>
      </c>
      <c r="I1851">
        <v>0</v>
      </c>
      <c r="J1851">
        <v>0</v>
      </c>
      <c r="K1851">
        <v>0</v>
      </c>
      <c r="L1851">
        <v>7</v>
      </c>
      <c r="O1851">
        <v>7</v>
      </c>
      <c r="P1851">
        <v>0</v>
      </c>
      <c r="Q1851">
        <v>0</v>
      </c>
      <c r="R1851">
        <v>22.13</v>
      </c>
      <c r="S1851">
        <v>0</v>
      </c>
      <c r="T1851">
        <v>0</v>
      </c>
      <c r="U1851">
        <v>0</v>
      </c>
      <c r="V1851">
        <v>0</v>
      </c>
      <c r="X1851">
        <v>22.13</v>
      </c>
    </row>
    <row r="1852" spans="1:24" ht="15">
      <c r="A1852">
        <v>1845</v>
      </c>
      <c r="B1852">
        <v>96124</v>
      </c>
      <c r="C1852" t="s">
        <v>2142</v>
      </c>
      <c r="D1852" t="s">
        <v>316</v>
      </c>
      <c r="E1852" t="s">
        <v>30</v>
      </c>
      <c r="F1852" t="str">
        <f>"00193803"</f>
        <v>00193803</v>
      </c>
      <c r="G1852">
        <v>15.05</v>
      </c>
      <c r="H1852">
        <v>0</v>
      </c>
      <c r="I1852">
        <v>0</v>
      </c>
      <c r="J1852">
        <v>0</v>
      </c>
      <c r="K1852">
        <v>0</v>
      </c>
      <c r="O1852">
        <v>0</v>
      </c>
      <c r="P1852">
        <v>4</v>
      </c>
      <c r="Q1852">
        <v>0</v>
      </c>
      <c r="R1852">
        <v>19.05</v>
      </c>
      <c r="S1852">
        <v>0</v>
      </c>
      <c r="T1852">
        <v>0</v>
      </c>
      <c r="U1852">
        <v>3</v>
      </c>
      <c r="V1852">
        <v>0</v>
      </c>
      <c r="X1852">
        <v>22.05</v>
      </c>
    </row>
    <row r="1853" spans="1:24" ht="15">
      <c r="A1853">
        <v>1846</v>
      </c>
      <c r="B1853">
        <v>32356</v>
      </c>
      <c r="C1853" t="s">
        <v>2144</v>
      </c>
      <c r="D1853" t="s">
        <v>50</v>
      </c>
      <c r="E1853" t="s">
        <v>23</v>
      </c>
      <c r="F1853" t="str">
        <f>"00599730"</f>
        <v>00599730</v>
      </c>
      <c r="G1853">
        <v>15.05</v>
      </c>
      <c r="H1853">
        <v>0</v>
      </c>
      <c r="I1853">
        <v>0</v>
      </c>
      <c r="J1853">
        <v>0</v>
      </c>
      <c r="K1853">
        <v>0</v>
      </c>
      <c r="N1853">
        <v>3</v>
      </c>
      <c r="O1853">
        <v>3</v>
      </c>
      <c r="P1853">
        <v>4</v>
      </c>
      <c r="Q1853">
        <v>0</v>
      </c>
      <c r="R1853">
        <v>22.05</v>
      </c>
      <c r="S1853">
        <v>0</v>
      </c>
      <c r="T1853">
        <v>0</v>
      </c>
      <c r="U1853">
        <v>0</v>
      </c>
      <c r="V1853">
        <v>0</v>
      </c>
      <c r="X1853">
        <v>22.05</v>
      </c>
    </row>
    <row r="1854" spans="1:24" ht="15">
      <c r="A1854">
        <v>1847</v>
      </c>
      <c r="B1854">
        <v>34984</v>
      </c>
      <c r="C1854" t="s">
        <v>2148</v>
      </c>
      <c r="D1854" t="s">
        <v>173</v>
      </c>
      <c r="E1854" t="s">
        <v>120</v>
      </c>
      <c r="F1854" t="str">
        <f>"00206833"</f>
        <v>00206833</v>
      </c>
      <c r="G1854">
        <v>16</v>
      </c>
      <c r="H1854">
        <v>0</v>
      </c>
      <c r="I1854">
        <v>0</v>
      </c>
      <c r="J1854">
        <v>0</v>
      </c>
      <c r="K1854">
        <v>0</v>
      </c>
      <c r="N1854">
        <v>3</v>
      </c>
      <c r="O1854">
        <v>3</v>
      </c>
      <c r="P1854">
        <v>0</v>
      </c>
      <c r="Q1854">
        <v>0</v>
      </c>
      <c r="R1854">
        <v>19</v>
      </c>
      <c r="S1854">
        <v>0</v>
      </c>
      <c r="T1854">
        <v>0</v>
      </c>
      <c r="U1854">
        <v>3</v>
      </c>
      <c r="V1854">
        <v>0</v>
      </c>
      <c r="X1854">
        <v>22</v>
      </c>
    </row>
    <row r="1855" spans="1:24" ht="15">
      <c r="A1855">
        <v>1848</v>
      </c>
      <c r="B1855">
        <v>2307</v>
      </c>
      <c r="C1855" t="s">
        <v>2151</v>
      </c>
      <c r="D1855" t="s">
        <v>808</v>
      </c>
      <c r="E1855" t="s">
        <v>44</v>
      </c>
      <c r="F1855" t="str">
        <f>"00611491"</f>
        <v>00611491</v>
      </c>
      <c r="G1855">
        <v>14.98</v>
      </c>
      <c r="H1855">
        <v>0</v>
      </c>
      <c r="I1855">
        <v>0</v>
      </c>
      <c r="J1855">
        <v>0</v>
      </c>
      <c r="K1855">
        <v>0</v>
      </c>
      <c r="N1855">
        <v>3</v>
      </c>
      <c r="O1855">
        <v>3</v>
      </c>
      <c r="P1855">
        <v>4</v>
      </c>
      <c r="Q1855">
        <v>0</v>
      </c>
      <c r="R1855">
        <v>21.98</v>
      </c>
      <c r="S1855">
        <v>0</v>
      </c>
      <c r="T1855">
        <v>0</v>
      </c>
      <c r="U1855">
        <v>0</v>
      </c>
      <c r="V1855">
        <v>0</v>
      </c>
      <c r="X1855">
        <v>21.98</v>
      </c>
    </row>
    <row r="1856" spans="1:24" ht="15">
      <c r="A1856">
        <v>1849</v>
      </c>
      <c r="B1856">
        <v>76363</v>
      </c>
      <c r="C1856" t="s">
        <v>1248</v>
      </c>
      <c r="D1856" t="s">
        <v>1141</v>
      </c>
      <c r="E1856" t="s">
        <v>17</v>
      </c>
      <c r="F1856" t="str">
        <f>"00272896"</f>
        <v>00272896</v>
      </c>
      <c r="G1856">
        <v>16.75</v>
      </c>
      <c r="H1856">
        <v>0</v>
      </c>
      <c r="I1856">
        <v>0</v>
      </c>
      <c r="J1856">
        <v>0</v>
      </c>
      <c r="K1856">
        <v>0</v>
      </c>
      <c r="M1856">
        <v>5</v>
      </c>
      <c r="O1856">
        <v>5</v>
      </c>
      <c r="P1856">
        <v>0</v>
      </c>
      <c r="Q1856">
        <v>0</v>
      </c>
      <c r="R1856">
        <v>21.75</v>
      </c>
      <c r="S1856">
        <v>0</v>
      </c>
      <c r="T1856">
        <v>0</v>
      </c>
      <c r="U1856">
        <v>0</v>
      </c>
      <c r="V1856">
        <v>0</v>
      </c>
      <c r="X1856">
        <v>21.75</v>
      </c>
    </row>
    <row r="1857" spans="1:24" ht="15">
      <c r="A1857">
        <v>1850</v>
      </c>
      <c r="B1857">
        <v>106980</v>
      </c>
      <c r="C1857" t="s">
        <v>441</v>
      </c>
      <c r="D1857" t="s">
        <v>1243</v>
      </c>
      <c r="E1857" t="s">
        <v>151</v>
      </c>
      <c r="F1857" t="str">
        <f>"00628585"</f>
        <v>00628585</v>
      </c>
      <c r="G1857">
        <v>14.65</v>
      </c>
      <c r="H1857">
        <v>0</v>
      </c>
      <c r="I1857">
        <v>0</v>
      </c>
      <c r="J1857">
        <v>0</v>
      </c>
      <c r="K1857">
        <v>0</v>
      </c>
      <c r="O1857">
        <v>0</v>
      </c>
      <c r="P1857">
        <v>4</v>
      </c>
      <c r="Q1857">
        <v>0</v>
      </c>
      <c r="R1857">
        <v>18.65</v>
      </c>
      <c r="S1857">
        <v>0</v>
      </c>
      <c r="T1857">
        <v>0</v>
      </c>
      <c r="U1857">
        <v>3</v>
      </c>
      <c r="V1857">
        <v>0</v>
      </c>
      <c r="X1857">
        <v>21.65</v>
      </c>
    </row>
    <row r="1858" spans="1:24" ht="15">
      <c r="A1858">
        <v>1851</v>
      </c>
      <c r="B1858">
        <v>3375</v>
      </c>
      <c r="C1858" t="s">
        <v>2159</v>
      </c>
      <c r="D1858" t="s">
        <v>29</v>
      </c>
      <c r="E1858" t="s">
        <v>120</v>
      </c>
      <c r="F1858" t="str">
        <f>"00363720"</f>
        <v>00363720</v>
      </c>
      <c r="G1858">
        <v>14.65</v>
      </c>
      <c r="H1858">
        <v>0</v>
      </c>
      <c r="I1858">
        <v>0</v>
      </c>
      <c r="J1858">
        <v>0</v>
      </c>
      <c r="K1858">
        <v>0</v>
      </c>
      <c r="N1858">
        <v>3</v>
      </c>
      <c r="O1858">
        <v>3</v>
      </c>
      <c r="P1858">
        <v>4</v>
      </c>
      <c r="Q1858">
        <v>0</v>
      </c>
      <c r="R1858">
        <v>21.65</v>
      </c>
      <c r="S1858">
        <v>0</v>
      </c>
      <c r="T1858">
        <v>0</v>
      </c>
      <c r="U1858">
        <v>0</v>
      </c>
      <c r="V1858">
        <v>0</v>
      </c>
      <c r="X1858">
        <v>21.65</v>
      </c>
    </row>
    <row r="1859" spans="1:24" ht="15">
      <c r="A1859">
        <v>1852</v>
      </c>
      <c r="B1859">
        <v>38876</v>
      </c>
      <c r="C1859" t="s">
        <v>2162</v>
      </c>
      <c r="D1859" t="s">
        <v>20</v>
      </c>
      <c r="E1859" t="s">
        <v>91</v>
      </c>
      <c r="F1859" t="str">
        <f>"200801010898"</f>
        <v>200801010898</v>
      </c>
      <c r="G1859">
        <v>17.53</v>
      </c>
      <c r="H1859">
        <v>0</v>
      </c>
      <c r="I1859">
        <v>0</v>
      </c>
      <c r="J1859">
        <v>0</v>
      </c>
      <c r="K1859">
        <v>0</v>
      </c>
      <c r="O1859">
        <v>0</v>
      </c>
      <c r="P1859">
        <v>4</v>
      </c>
      <c r="Q1859">
        <v>0</v>
      </c>
      <c r="R1859">
        <v>21.53</v>
      </c>
      <c r="S1859">
        <v>0</v>
      </c>
      <c r="T1859">
        <v>0</v>
      </c>
      <c r="U1859">
        <v>0</v>
      </c>
      <c r="V1859">
        <v>0</v>
      </c>
      <c r="X1859">
        <v>21.53</v>
      </c>
    </row>
    <row r="1860" spans="1:24" ht="15">
      <c r="A1860">
        <v>1853</v>
      </c>
      <c r="B1860">
        <v>105383</v>
      </c>
      <c r="C1860" t="s">
        <v>468</v>
      </c>
      <c r="D1860" t="s">
        <v>29</v>
      </c>
      <c r="E1860" t="s">
        <v>113</v>
      </c>
      <c r="F1860" t="str">
        <f>"00635763"</f>
        <v>00635763</v>
      </c>
      <c r="G1860">
        <v>14.53</v>
      </c>
      <c r="H1860">
        <v>0</v>
      </c>
      <c r="I1860">
        <v>0</v>
      </c>
      <c r="J1860">
        <v>0</v>
      </c>
      <c r="K1860">
        <v>0</v>
      </c>
      <c r="N1860">
        <v>3</v>
      </c>
      <c r="O1860">
        <v>3</v>
      </c>
      <c r="P1860">
        <v>4</v>
      </c>
      <c r="Q1860">
        <v>0</v>
      </c>
      <c r="R1860">
        <v>21.53</v>
      </c>
      <c r="S1860">
        <v>0</v>
      </c>
      <c r="T1860">
        <v>0</v>
      </c>
      <c r="U1860">
        <v>0</v>
      </c>
      <c r="V1860">
        <v>0</v>
      </c>
      <c r="X1860">
        <v>21.53</v>
      </c>
    </row>
    <row r="1861" spans="1:24" ht="15">
      <c r="A1861">
        <v>1854</v>
      </c>
      <c r="B1861">
        <v>37145</v>
      </c>
      <c r="C1861" t="s">
        <v>2165</v>
      </c>
      <c r="D1861" t="s">
        <v>2166</v>
      </c>
      <c r="E1861" t="s">
        <v>273</v>
      </c>
      <c r="F1861" t="str">
        <f>"00282099"</f>
        <v>00282099</v>
      </c>
      <c r="G1861">
        <v>15.43</v>
      </c>
      <c r="H1861">
        <v>0</v>
      </c>
      <c r="I1861">
        <v>0</v>
      </c>
      <c r="J1861">
        <v>0</v>
      </c>
      <c r="K1861">
        <v>0</v>
      </c>
      <c r="N1861">
        <v>6</v>
      </c>
      <c r="O1861">
        <v>6</v>
      </c>
      <c r="P1861">
        <v>0</v>
      </c>
      <c r="Q1861">
        <v>0</v>
      </c>
      <c r="R1861">
        <v>21.43</v>
      </c>
      <c r="S1861">
        <v>0</v>
      </c>
      <c r="T1861">
        <v>0</v>
      </c>
      <c r="U1861">
        <v>0</v>
      </c>
      <c r="V1861">
        <v>0</v>
      </c>
      <c r="X1861">
        <v>21.43</v>
      </c>
    </row>
    <row r="1862" spans="1:24" ht="15">
      <c r="A1862">
        <v>1855</v>
      </c>
      <c r="B1862">
        <v>101971</v>
      </c>
      <c r="C1862" t="s">
        <v>2167</v>
      </c>
      <c r="D1862" t="s">
        <v>359</v>
      </c>
      <c r="E1862" t="s">
        <v>21</v>
      </c>
      <c r="F1862" t="str">
        <f>"00192914"</f>
        <v>00192914</v>
      </c>
      <c r="G1862">
        <v>17.4</v>
      </c>
      <c r="H1862">
        <v>0</v>
      </c>
      <c r="I1862">
        <v>0</v>
      </c>
      <c r="J1862">
        <v>0</v>
      </c>
      <c r="K1862">
        <v>0</v>
      </c>
      <c r="O1862">
        <v>0</v>
      </c>
      <c r="P1862">
        <v>4</v>
      </c>
      <c r="Q1862">
        <v>0</v>
      </c>
      <c r="R1862">
        <v>21.4</v>
      </c>
      <c r="S1862">
        <v>0</v>
      </c>
      <c r="T1862">
        <v>0</v>
      </c>
      <c r="U1862">
        <v>0</v>
      </c>
      <c r="V1862">
        <v>0</v>
      </c>
      <c r="X1862">
        <v>21.4</v>
      </c>
    </row>
    <row r="1863" spans="1:24" ht="15">
      <c r="A1863">
        <v>1856</v>
      </c>
      <c r="B1863">
        <v>109079</v>
      </c>
      <c r="C1863" t="s">
        <v>267</v>
      </c>
      <c r="D1863" t="s">
        <v>821</v>
      </c>
      <c r="E1863" t="s">
        <v>21</v>
      </c>
      <c r="F1863" t="str">
        <f>"00644224"</f>
        <v>00644224</v>
      </c>
      <c r="G1863">
        <v>16.3</v>
      </c>
      <c r="H1863">
        <v>0</v>
      </c>
      <c r="I1863">
        <v>0</v>
      </c>
      <c r="J1863">
        <v>0</v>
      </c>
      <c r="K1863">
        <v>0</v>
      </c>
      <c r="M1863">
        <v>5</v>
      </c>
      <c r="O1863">
        <v>5</v>
      </c>
      <c r="P1863">
        <v>0</v>
      </c>
      <c r="Q1863">
        <v>0</v>
      </c>
      <c r="R1863">
        <v>21.3</v>
      </c>
      <c r="S1863">
        <v>0</v>
      </c>
      <c r="T1863">
        <v>0</v>
      </c>
      <c r="U1863">
        <v>0</v>
      </c>
      <c r="V1863">
        <v>0</v>
      </c>
      <c r="X1863">
        <v>21.3</v>
      </c>
    </row>
    <row r="1864" spans="1:24" ht="15">
      <c r="A1864">
        <v>1857</v>
      </c>
      <c r="B1864">
        <v>1336</v>
      </c>
      <c r="C1864" t="s">
        <v>144</v>
      </c>
      <c r="D1864" t="s">
        <v>75</v>
      </c>
      <c r="E1864" t="s">
        <v>375</v>
      </c>
      <c r="F1864" t="str">
        <f>"00164892"</f>
        <v>00164892</v>
      </c>
      <c r="G1864">
        <v>14.25</v>
      </c>
      <c r="H1864">
        <v>0</v>
      </c>
      <c r="I1864">
        <v>0</v>
      </c>
      <c r="J1864">
        <v>0</v>
      </c>
      <c r="K1864">
        <v>0</v>
      </c>
      <c r="O1864">
        <v>0</v>
      </c>
      <c r="P1864">
        <v>4</v>
      </c>
      <c r="Q1864">
        <v>0</v>
      </c>
      <c r="R1864">
        <v>18.25</v>
      </c>
      <c r="S1864">
        <v>0</v>
      </c>
      <c r="T1864">
        <v>0</v>
      </c>
      <c r="U1864">
        <v>3</v>
      </c>
      <c r="V1864">
        <v>0</v>
      </c>
      <c r="X1864">
        <v>21.25</v>
      </c>
    </row>
    <row r="1865" spans="1:24" ht="15">
      <c r="A1865">
        <v>1858</v>
      </c>
      <c r="B1865">
        <v>82196</v>
      </c>
      <c r="C1865" t="s">
        <v>2171</v>
      </c>
      <c r="D1865" t="s">
        <v>27</v>
      </c>
      <c r="E1865" t="s">
        <v>30</v>
      </c>
      <c r="F1865" t="str">
        <f>"00248292"</f>
        <v>00248292</v>
      </c>
      <c r="G1865">
        <v>17.25</v>
      </c>
      <c r="H1865">
        <v>0</v>
      </c>
      <c r="I1865">
        <v>0</v>
      </c>
      <c r="J1865">
        <v>0</v>
      </c>
      <c r="K1865">
        <v>0</v>
      </c>
      <c r="O1865">
        <v>0</v>
      </c>
      <c r="P1865">
        <v>4</v>
      </c>
      <c r="Q1865">
        <v>0</v>
      </c>
      <c r="R1865">
        <v>21.25</v>
      </c>
      <c r="S1865">
        <v>0</v>
      </c>
      <c r="T1865">
        <v>0</v>
      </c>
      <c r="U1865">
        <v>0</v>
      </c>
      <c r="V1865">
        <v>0</v>
      </c>
      <c r="X1865">
        <v>21.25</v>
      </c>
    </row>
    <row r="1866" spans="1:24" ht="15">
      <c r="A1866">
        <v>1859</v>
      </c>
      <c r="B1866">
        <v>100850</v>
      </c>
      <c r="C1866" t="s">
        <v>1262</v>
      </c>
      <c r="D1866" t="s">
        <v>821</v>
      </c>
      <c r="E1866" t="s">
        <v>17</v>
      </c>
      <c r="F1866" t="str">
        <f>"00109903"</f>
        <v>00109903</v>
      </c>
      <c r="G1866">
        <v>17.15</v>
      </c>
      <c r="H1866">
        <v>0</v>
      </c>
      <c r="I1866">
        <v>0</v>
      </c>
      <c r="J1866">
        <v>0</v>
      </c>
      <c r="K1866">
        <v>0</v>
      </c>
      <c r="O1866">
        <v>0</v>
      </c>
      <c r="P1866">
        <v>4</v>
      </c>
      <c r="Q1866">
        <v>0</v>
      </c>
      <c r="R1866">
        <v>21.15</v>
      </c>
      <c r="S1866">
        <v>0</v>
      </c>
      <c r="T1866">
        <v>0</v>
      </c>
      <c r="U1866">
        <v>0</v>
      </c>
      <c r="V1866">
        <v>0</v>
      </c>
      <c r="X1866">
        <v>21.15</v>
      </c>
    </row>
    <row r="1867" spans="1:24" ht="15">
      <c r="A1867">
        <v>1860</v>
      </c>
      <c r="B1867">
        <v>85482</v>
      </c>
      <c r="C1867" t="s">
        <v>2177</v>
      </c>
      <c r="D1867" t="s">
        <v>16</v>
      </c>
      <c r="E1867" t="s">
        <v>12</v>
      </c>
      <c r="F1867" t="str">
        <f>"00638702"</f>
        <v>00638702</v>
      </c>
      <c r="G1867">
        <v>18.08</v>
      </c>
      <c r="H1867">
        <v>0</v>
      </c>
      <c r="I1867">
        <v>0</v>
      </c>
      <c r="J1867">
        <v>0</v>
      </c>
      <c r="K1867">
        <v>0</v>
      </c>
      <c r="N1867">
        <v>3</v>
      </c>
      <c r="O1867">
        <v>3</v>
      </c>
      <c r="P1867">
        <v>0</v>
      </c>
      <c r="Q1867">
        <v>0</v>
      </c>
      <c r="R1867">
        <v>21.08</v>
      </c>
      <c r="S1867">
        <v>0</v>
      </c>
      <c r="T1867">
        <v>0</v>
      </c>
      <c r="U1867">
        <v>0</v>
      </c>
      <c r="V1867">
        <v>0</v>
      </c>
      <c r="X1867">
        <v>21.08</v>
      </c>
    </row>
    <row r="1868" spans="1:24" ht="15">
      <c r="A1868">
        <v>1861</v>
      </c>
      <c r="B1868">
        <v>22986</v>
      </c>
      <c r="C1868" t="s">
        <v>2180</v>
      </c>
      <c r="D1868" t="s">
        <v>50</v>
      </c>
      <c r="E1868" t="s">
        <v>30</v>
      </c>
      <c r="F1868" t="str">
        <f>"00601149"</f>
        <v>00601149</v>
      </c>
      <c r="G1868">
        <v>21.05</v>
      </c>
      <c r="H1868">
        <v>0</v>
      </c>
      <c r="I1868">
        <v>0</v>
      </c>
      <c r="J1868">
        <v>0</v>
      </c>
      <c r="K1868">
        <v>0</v>
      </c>
      <c r="O1868">
        <v>0</v>
      </c>
      <c r="P1868">
        <v>0</v>
      </c>
      <c r="Q1868">
        <v>0</v>
      </c>
      <c r="R1868">
        <v>21.05</v>
      </c>
      <c r="S1868">
        <v>0</v>
      </c>
      <c r="T1868">
        <v>0</v>
      </c>
      <c r="U1868">
        <v>0</v>
      </c>
      <c r="V1868">
        <v>0</v>
      </c>
      <c r="X1868">
        <v>21.05</v>
      </c>
    </row>
    <row r="1869" spans="1:24" ht="15">
      <c r="A1869">
        <v>1862</v>
      </c>
      <c r="B1869">
        <v>111341</v>
      </c>
      <c r="C1869" t="s">
        <v>2196</v>
      </c>
      <c r="D1869" t="s">
        <v>2197</v>
      </c>
      <c r="E1869" t="s">
        <v>21</v>
      </c>
      <c r="F1869" t="str">
        <f>"00504528"</f>
        <v>00504528</v>
      </c>
      <c r="G1869">
        <v>14.75</v>
      </c>
      <c r="H1869">
        <v>0</v>
      </c>
      <c r="I1869">
        <v>0</v>
      </c>
      <c r="J1869">
        <v>0</v>
      </c>
      <c r="K1869">
        <v>0</v>
      </c>
      <c r="O1869">
        <v>0</v>
      </c>
      <c r="P1869">
        <v>0</v>
      </c>
      <c r="Q1869">
        <v>0</v>
      </c>
      <c r="R1869">
        <v>14.75</v>
      </c>
      <c r="S1869">
        <v>0</v>
      </c>
      <c r="T1869">
        <v>0</v>
      </c>
      <c r="U1869">
        <v>6</v>
      </c>
      <c r="V1869">
        <v>0</v>
      </c>
      <c r="X1869">
        <v>20.75</v>
      </c>
    </row>
    <row r="1870" spans="1:24" ht="15">
      <c r="A1870">
        <v>1863</v>
      </c>
      <c r="B1870">
        <v>82375</v>
      </c>
      <c r="C1870" t="s">
        <v>2203</v>
      </c>
      <c r="D1870" t="s">
        <v>97</v>
      </c>
      <c r="E1870" t="s">
        <v>12</v>
      </c>
      <c r="F1870" t="str">
        <f>"00604680"</f>
        <v>00604680</v>
      </c>
      <c r="G1870">
        <v>16.63</v>
      </c>
      <c r="H1870">
        <v>0</v>
      </c>
      <c r="I1870">
        <v>0</v>
      </c>
      <c r="J1870">
        <v>0</v>
      </c>
      <c r="K1870">
        <v>0</v>
      </c>
      <c r="O1870">
        <v>0</v>
      </c>
      <c r="P1870">
        <v>4</v>
      </c>
      <c r="Q1870">
        <v>0</v>
      </c>
      <c r="R1870">
        <v>20.63</v>
      </c>
      <c r="S1870">
        <v>0</v>
      </c>
      <c r="T1870">
        <v>0</v>
      </c>
      <c r="U1870">
        <v>0</v>
      </c>
      <c r="V1870">
        <v>0</v>
      </c>
      <c r="X1870">
        <v>20.63</v>
      </c>
    </row>
    <row r="1871" spans="1:24" ht="15">
      <c r="A1871">
        <v>1864</v>
      </c>
      <c r="B1871">
        <v>43339</v>
      </c>
      <c r="C1871" t="s">
        <v>2206</v>
      </c>
      <c r="D1871" t="s">
        <v>44</v>
      </c>
      <c r="E1871" t="s">
        <v>30</v>
      </c>
      <c r="F1871" t="str">
        <f>"00625719"</f>
        <v>00625719</v>
      </c>
      <c r="G1871">
        <v>13.55</v>
      </c>
      <c r="H1871">
        <v>0</v>
      </c>
      <c r="I1871">
        <v>0</v>
      </c>
      <c r="J1871">
        <v>0</v>
      </c>
      <c r="K1871">
        <v>0</v>
      </c>
      <c r="L1871">
        <v>7</v>
      </c>
      <c r="O1871">
        <v>7</v>
      </c>
      <c r="P1871">
        <v>0</v>
      </c>
      <c r="Q1871">
        <v>0</v>
      </c>
      <c r="R1871">
        <v>20.55</v>
      </c>
      <c r="S1871">
        <v>0</v>
      </c>
      <c r="T1871">
        <v>0</v>
      </c>
      <c r="U1871">
        <v>0</v>
      </c>
      <c r="V1871">
        <v>0</v>
      </c>
      <c r="X1871">
        <v>20.55</v>
      </c>
    </row>
    <row r="1872" spans="1:24" ht="15">
      <c r="A1872">
        <v>1865</v>
      </c>
      <c r="B1872">
        <v>11453</v>
      </c>
      <c r="C1872" t="s">
        <v>596</v>
      </c>
      <c r="D1872" t="s">
        <v>316</v>
      </c>
      <c r="E1872" t="s">
        <v>273</v>
      </c>
      <c r="F1872" t="str">
        <f>"00467086"</f>
        <v>00467086</v>
      </c>
      <c r="G1872">
        <v>16.53</v>
      </c>
      <c r="H1872">
        <v>0</v>
      </c>
      <c r="I1872">
        <v>0</v>
      </c>
      <c r="J1872">
        <v>0</v>
      </c>
      <c r="K1872">
        <v>0</v>
      </c>
      <c r="O1872">
        <v>0</v>
      </c>
      <c r="P1872">
        <v>4</v>
      </c>
      <c r="Q1872">
        <v>0</v>
      </c>
      <c r="R1872">
        <v>20.53</v>
      </c>
      <c r="S1872">
        <v>0</v>
      </c>
      <c r="T1872">
        <v>0</v>
      </c>
      <c r="U1872">
        <v>0</v>
      </c>
      <c r="V1872">
        <v>0</v>
      </c>
      <c r="X1872">
        <v>20.53</v>
      </c>
    </row>
    <row r="1873" spans="1:24" ht="15">
      <c r="A1873">
        <v>1866</v>
      </c>
      <c r="B1873">
        <v>79913</v>
      </c>
      <c r="C1873" t="s">
        <v>2210</v>
      </c>
      <c r="D1873" t="s">
        <v>17</v>
      </c>
      <c r="E1873" t="s">
        <v>614</v>
      </c>
      <c r="F1873" t="str">
        <f>"00186948"</f>
        <v>00186948</v>
      </c>
      <c r="G1873">
        <v>16.48</v>
      </c>
      <c r="H1873">
        <v>0</v>
      </c>
      <c r="I1873">
        <v>0</v>
      </c>
      <c r="J1873">
        <v>0</v>
      </c>
      <c r="K1873">
        <v>0</v>
      </c>
      <c r="O1873">
        <v>0</v>
      </c>
      <c r="P1873">
        <v>4</v>
      </c>
      <c r="Q1873">
        <v>0</v>
      </c>
      <c r="R1873">
        <v>20.48</v>
      </c>
      <c r="S1873">
        <v>0</v>
      </c>
      <c r="T1873">
        <v>0</v>
      </c>
      <c r="U1873">
        <v>0</v>
      </c>
      <c r="V1873">
        <v>0</v>
      </c>
      <c r="X1873">
        <v>20.48</v>
      </c>
    </row>
    <row r="1874" spans="1:24" ht="15">
      <c r="A1874">
        <v>1867</v>
      </c>
      <c r="B1874">
        <v>87465</v>
      </c>
      <c r="C1874" t="s">
        <v>2211</v>
      </c>
      <c r="D1874" t="s">
        <v>17</v>
      </c>
      <c r="E1874" t="s">
        <v>27</v>
      </c>
      <c r="F1874" t="str">
        <f>"201410008084"</f>
        <v>201410008084</v>
      </c>
      <c r="G1874">
        <v>17.43</v>
      </c>
      <c r="H1874">
        <v>0</v>
      </c>
      <c r="I1874">
        <v>0</v>
      </c>
      <c r="J1874">
        <v>0</v>
      </c>
      <c r="K1874">
        <v>0</v>
      </c>
      <c r="O1874">
        <v>0</v>
      </c>
      <c r="P1874">
        <v>0</v>
      </c>
      <c r="Q1874">
        <v>0</v>
      </c>
      <c r="R1874">
        <v>17.43</v>
      </c>
      <c r="S1874">
        <v>0</v>
      </c>
      <c r="T1874">
        <v>0</v>
      </c>
      <c r="U1874">
        <v>3</v>
      </c>
      <c r="V1874">
        <v>0</v>
      </c>
      <c r="X1874">
        <v>20.43</v>
      </c>
    </row>
    <row r="1875" spans="1:24" ht="15">
      <c r="A1875">
        <v>1868</v>
      </c>
      <c r="B1875">
        <v>100460</v>
      </c>
      <c r="C1875" t="s">
        <v>2215</v>
      </c>
      <c r="D1875" t="s">
        <v>2138</v>
      </c>
      <c r="E1875" t="s">
        <v>2216</v>
      </c>
      <c r="F1875" t="str">
        <f>"00604681"</f>
        <v>00604681</v>
      </c>
      <c r="G1875">
        <v>16.38</v>
      </c>
      <c r="H1875">
        <v>0</v>
      </c>
      <c r="I1875">
        <v>0</v>
      </c>
      <c r="J1875">
        <v>0</v>
      </c>
      <c r="K1875">
        <v>0</v>
      </c>
      <c r="O1875">
        <v>0</v>
      </c>
      <c r="P1875">
        <v>4</v>
      </c>
      <c r="Q1875">
        <v>0</v>
      </c>
      <c r="R1875">
        <v>20.38</v>
      </c>
      <c r="S1875">
        <v>0</v>
      </c>
      <c r="T1875">
        <v>0</v>
      </c>
      <c r="U1875">
        <v>0</v>
      </c>
      <c r="V1875">
        <v>0</v>
      </c>
      <c r="X1875">
        <v>20.38</v>
      </c>
    </row>
    <row r="1876" spans="1:24" ht="15">
      <c r="A1876">
        <v>1869</v>
      </c>
      <c r="B1876">
        <v>62533</v>
      </c>
      <c r="C1876" t="s">
        <v>2171</v>
      </c>
      <c r="D1876" t="s">
        <v>17</v>
      </c>
      <c r="E1876" t="s">
        <v>124</v>
      </c>
      <c r="F1876" t="str">
        <f>"201006000016"</f>
        <v>201006000016</v>
      </c>
      <c r="G1876">
        <v>16.3</v>
      </c>
      <c r="H1876">
        <v>0</v>
      </c>
      <c r="I1876">
        <v>0</v>
      </c>
      <c r="J1876">
        <v>0</v>
      </c>
      <c r="K1876">
        <v>0</v>
      </c>
      <c r="O1876">
        <v>0</v>
      </c>
      <c r="P1876">
        <v>4</v>
      </c>
      <c r="Q1876">
        <v>0</v>
      </c>
      <c r="R1876">
        <v>20.3</v>
      </c>
      <c r="S1876">
        <v>0</v>
      </c>
      <c r="T1876">
        <v>0</v>
      </c>
      <c r="U1876">
        <v>0</v>
      </c>
      <c r="V1876">
        <v>0</v>
      </c>
      <c r="X1876">
        <v>20.3</v>
      </c>
    </row>
    <row r="1877" spans="1:24" ht="15">
      <c r="A1877">
        <v>1870</v>
      </c>
      <c r="B1877">
        <v>89212</v>
      </c>
      <c r="C1877" t="s">
        <v>758</v>
      </c>
      <c r="D1877" t="s">
        <v>21</v>
      </c>
      <c r="E1877" t="s">
        <v>30</v>
      </c>
      <c r="F1877" t="str">
        <f>"00647448"</f>
        <v>00647448</v>
      </c>
      <c r="G1877">
        <v>17.28</v>
      </c>
      <c r="H1877">
        <v>0</v>
      </c>
      <c r="I1877">
        <v>0</v>
      </c>
      <c r="J1877">
        <v>0</v>
      </c>
      <c r="K1877">
        <v>0</v>
      </c>
      <c r="N1877">
        <v>3</v>
      </c>
      <c r="O1877">
        <v>3</v>
      </c>
      <c r="P1877">
        <v>0</v>
      </c>
      <c r="Q1877">
        <v>0</v>
      </c>
      <c r="R1877">
        <v>20.28</v>
      </c>
      <c r="S1877">
        <v>0</v>
      </c>
      <c r="T1877">
        <v>0</v>
      </c>
      <c r="U1877">
        <v>0</v>
      </c>
      <c r="V1877">
        <v>0</v>
      </c>
      <c r="X1877">
        <v>20.28</v>
      </c>
    </row>
    <row r="1878" spans="1:24" ht="15">
      <c r="A1878">
        <v>1871</v>
      </c>
      <c r="B1878">
        <v>104543</v>
      </c>
      <c r="C1878" t="s">
        <v>1534</v>
      </c>
      <c r="D1878" t="s">
        <v>505</v>
      </c>
      <c r="E1878" t="s">
        <v>1124</v>
      </c>
      <c r="F1878" t="str">
        <f>"00344283"</f>
        <v>00344283</v>
      </c>
      <c r="G1878">
        <v>16.25</v>
      </c>
      <c r="H1878">
        <v>0</v>
      </c>
      <c r="I1878">
        <v>0</v>
      </c>
      <c r="J1878">
        <v>0</v>
      </c>
      <c r="K1878">
        <v>0</v>
      </c>
      <c r="O1878">
        <v>0</v>
      </c>
      <c r="P1878">
        <v>4</v>
      </c>
      <c r="Q1878">
        <v>0</v>
      </c>
      <c r="R1878">
        <v>20.25</v>
      </c>
      <c r="S1878">
        <v>0</v>
      </c>
      <c r="T1878">
        <v>0</v>
      </c>
      <c r="U1878">
        <v>0</v>
      </c>
      <c r="V1878">
        <v>0</v>
      </c>
      <c r="X1878">
        <v>20.25</v>
      </c>
    </row>
    <row r="1879" spans="1:24" ht="15">
      <c r="A1879">
        <v>1872</v>
      </c>
      <c r="B1879">
        <v>84663</v>
      </c>
      <c r="C1879" t="s">
        <v>2224</v>
      </c>
      <c r="D1879" t="s">
        <v>91</v>
      </c>
      <c r="E1879" t="s">
        <v>23</v>
      </c>
      <c r="F1879" t="str">
        <f>"201410003497"</f>
        <v>201410003497</v>
      </c>
      <c r="G1879">
        <v>16.25</v>
      </c>
      <c r="H1879">
        <v>0</v>
      </c>
      <c r="I1879">
        <v>0</v>
      </c>
      <c r="J1879">
        <v>0</v>
      </c>
      <c r="K1879">
        <v>0</v>
      </c>
      <c r="O1879">
        <v>0</v>
      </c>
      <c r="P1879">
        <v>4</v>
      </c>
      <c r="Q1879">
        <v>0</v>
      </c>
      <c r="R1879">
        <v>20.25</v>
      </c>
      <c r="S1879">
        <v>0</v>
      </c>
      <c r="T1879">
        <v>0</v>
      </c>
      <c r="U1879">
        <v>0</v>
      </c>
      <c r="V1879">
        <v>0</v>
      </c>
      <c r="X1879">
        <v>20.25</v>
      </c>
    </row>
    <row r="1880" spans="1:24" ht="15">
      <c r="A1880">
        <v>1873</v>
      </c>
      <c r="B1880">
        <v>110924</v>
      </c>
      <c r="C1880" t="s">
        <v>1204</v>
      </c>
      <c r="D1880" t="s">
        <v>30</v>
      </c>
      <c r="E1880" t="s">
        <v>13</v>
      </c>
      <c r="F1880" t="str">
        <f>"00555913"</f>
        <v>00555913</v>
      </c>
      <c r="G1880">
        <v>16.15</v>
      </c>
      <c r="H1880">
        <v>0</v>
      </c>
      <c r="I1880">
        <v>0</v>
      </c>
      <c r="J1880">
        <v>0</v>
      </c>
      <c r="K1880">
        <v>0</v>
      </c>
      <c r="O1880">
        <v>0</v>
      </c>
      <c r="P1880">
        <v>4</v>
      </c>
      <c r="Q1880">
        <v>0</v>
      </c>
      <c r="R1880">
        <v>20.15</v>
      </c>
      <c r="S1880">
        <v>0</v>
      </c>
      <c r="T1880">
        <v>0</v>
      </c>
      <c r="U1880">
        <v>0</v>
      </c>
      <c r="V1880">
        <v>0</v>
      </c>
      <c r="X1880">
        <v>20.15</v>
      </c>
    </row>
    <row r="1881" spans="1:24" ht="15">
      <c r="A1881">
        <v>1874</v>
      </c>
      <c r="B1881">
        <v>115645</v>
      </c>
      <c r="C1881" t="s">
        <v>2226</v>
      </c>
      <c r="D1881" t="s">
        <v>928</v>
      </c>
      <c r="E1881" t="s">
        <v>20</v>
      </c>
      <c r="F1881" t="str">
        <f>"00647897"</f>
        <v>00647897</v>
      </c>
      <c r="G1881">
        <v>17.1</v>
      </c>
      <c r="H1881">
        <v>0</v>
      </c>
      <c r="I1881">
        <v>0</v>
      </c>
      <c r="J1881">
        <v>0</v>
      </c>
      <c r="K1881">
        <v>0</v>
      </c>
      <c r="N1881">
        <v>3</v>
      </c>
      <c r="O1881">
        <v>3</v>
      </c>
      <c r="P1881">
        <v>0</v>
      </c>
      <c r="Q1881">
        <v>0</v>
      </c>
      <c r="R1881">
        <v>20.1</v>
      </c>
      <c r="S1881">
        <v>0</v>
      </c>
      <c r="T1881">
        <v>0</v>
      </c>
      <c r="U1881">
        <v>0</v>
      </c>
      <c r="V1881">
        <v>0</v>
      </c>
      <c r="X1881">
        <v>20.1</v>
      </c>
    </row>
    <row r="1882" spans="1:24" ht="15">
      <c r="A1882">
        <v>1875</v>
      </c>
      <c r="B1882">
        <v>42423</v>
      </c>
      <c r="C1882" t="s">
        <v>2227</v>
      </c>
      <c r="D1882" t="s">
        <v>80</v>
      </c>
      <c r="E1882" t="s">
        <v>12</v>
      </c>
      <c r="F1882" t="str">
        <f>"201504000040"</f>
        <v>201504000040</v>
      </c>
      <c r="G1882">
        <v>16.05</v>
      </c>
      <c r="H1882">
        <v>0</v>
      </c>
      <c r="I1882">
        <v>0</v>
      </c>
      <c r="J1882">
        <v>0</v>
      </c>
      <c r="K1882">
        <v>0</v>
      </c>
      <c r="O1882">
        <v>0</v>
      </c>
      <c r="P1882">
        <v>4</v>
      </c>
      <c r="Q1882">
        <v>0</v>
      </c>
      <c r="R1882">
        <v>20.05</v>
      </c>
      <c r="S1882">
        <v>0</v>
      </c>
      <c r="T1882">
        <v>0</v>
      </c>
      <c r="U1882">
        <v>0</v>
      </c>
      <c r="V1882">
        <v>0</v>
      </c>
      <c r="X1882">
        <v>20.05</v>
      </c>
    </row>
    <row r="1883" spans="1:24" ht="15">
      <c r="A1883">
        <v>1876</v>
      </c>
      <c r="B1883">
        <v>103802</v>
      </c>
      <c r="C1883" t="s">
        <v>2228</v>
      </c>
      <c r="D1883" t="s">
        <v>12</v>
      </c>
      <c r="E1883" t="s">
        <v>113</v>
      </c>
      <c r="F1883" t="str">
        <f>"00633880"</f>
        <v>00633880</v>
      </c>
      <c r="G1883">
        <v>15.95</v>
      </c>
      <c r="H1883">
        <v>0</v>
      </c>
      <c r="I1883">
        <v>0</v>
      </c>
      <c r="J1883">
        <v>0</v>
      </c>
      <c r="K1883">
        <v>0</v>
      </c>
      <c r="O1883">
        <v>0</v>
      </c>
      <c r="P1883">
        <v>4</v>
      </c>
      <c r="Q1883">
        <v>0</v>
      </c>
      <c r="R1883">
        <v>19.95</v>
      </c>
      <c r="S1883">
        <v>0</v>
      </c>
      <c r="T1883">
        <v>0</v>
      </c>
      <c r="U1883">
        <v>0</v>
      </c>
      <c r="V1883">
        <v>0</v>
      </c>
      <c r="X1883">
        <v>19.95</v>
      </c>
    </row>
    <row r="1884" spans="1:24" ht="15">
      <c r="A1884">
        <v>1877</v>
      </c>
      <c r="B1884">
        <v>100304</v>
      </c>
      <c r="C1884" t="s">
        <v>2233</v>
      </c>
      <c r="D1884" t="s">
        <v>41</v>
      </c>
      <c r="E1884" t="s">
        <v>12</v>
      </c>
      <c r="F1884" t="str">
        <f>"00511794"</f>
        <v>00511794</v>
      </c>
      <c r="G1884">
        <v>15.7</v>
      </c>
      <c r="H1884">
        <v>0</v>
      </c>
      <c r="I1884">
        <v>0</v>
      </c>
      <c r="J1884">
        <v>0</v>
      </c>
      <c r="K1884">
        <v>0</v>
      </c>
      <c r="O1884">
        <v>0</v>
      </c>
      <c r="P1884">
        <v>4</v>
      </c>
      <c r="Q1884">
        <v>0</v>
      </c>
      <c r="R1884">
        <v>19.7</v>
      </c>
      <c r="S1884">
        <v>0</v>
      </c>
      <c r="T1884">
        <v>0</v>
      </c>
      <c r="U1884">
        <v>0</v>
      </c>
      <c r="V1884">
        <v>0</v>
      </c>
      <c r="X1884">
        <v>19.7</v>
      </c>
    </row>
    <row r="1885" spans="1:24" ht="15">
      <c r="A1885">
        <v>1878</v>
      </c>
      <c r="B1885">
        <v>23225</v>
      </c>
      <c r="C1885" t="s">
        <v>2236</v>
      </c>
      <c r="D1885" t="s">
        <v>356</v>
      </c>
      <c r="E1885" t="s">
        <v>288</v>
      </c>
      <c r="F1885" t="str">
        <f>"00033023"</f>
        <v>00033023</v>
      </c>
      <c r="G1885">
        <v>15.53</v>
      </c>
      <c r="H1885">
        <v>0</v>
      </c>
      <c r="I1885">
        <v>0</v>
      </c>
      <c r="J1885">
        <v>0</v>
      </c>
      <c r="K1885">
        <v>0</v>
      </c>
      <c r="O1885">
        <v>0</v>
      </c>
      <c r="P1885">
        <v>4</v>
      </c>
      <c r="Q1885">
        <v>0</v>
      </c>
      <c r="R1885">
        <v>19.53</v>
      </c>
      <c r="S1885">
        <v>0</v>
      </c>
      <c r="T1885">
        <v>0</v>
      </c>
      <c r="U1885">
        <v>0</v>
      </c>
      <c r="V1885">
        <v>0</v>
      </c>
      <c r="X1885">
        <v>19.53</v>
      </c>
    </row>
    <row r="1886" spans="1:24" ht="15">
      <c r="A1886">
        <v>1879</v>
      </c>
      <c r="B1886">
        <v>43358</v>
      </c>
      <c r="C1886" t="s">
        <v>2237</v>
      </c>
      <c r="D1886" t="s">
        <v>23</v>
      </c>
      <c r="E1886" t="s">
        <v>21</v>
      </c>
      <c r="F1886" t="str">
        <f>"00217492"</f>
        <v>00217492</v>
      </c>
      <c r="G1886">
        <v>15.5</v>
      </c>
      <c r="H1886">
        <v>0</v>
      </c>
      <c r="I1886">
        <v>0</v>
      </c>
      <c r="J1886">
        <v>0</v>
      </c>
      <c r="K1886">
        <v>0</v>
      </c>
      <c r="O1886">
        <v>0</v>
      </c>
      <c r="P1886">
        <v>4</v>
      </c>
      <c r="Q1886">
        <v>0</v>
      </c>
      <c r="R1886">
        <v>19.5</v>
      </c>
      <c r="S1886">
        <v>0</v>
      </c>
      <c r="T1886">
        <v>0</v>
      </c>
      <c r="U1886">
        <v>0</v>
      </c>
      <c r="V1886">
        <v>0</v>
      </c>
      <c r="X1886">
        <v>19.5</v>
      </c>
    </row>
    <row r="1887" spans="1:24" ht="15">
      <c r="A1887">
        <v>1880</v>
      </c>
      <c r="B1887">
        <v>29022</v>
      </c>
      <c r="C1887" t="s">
        <v>2239</v>
      </c>
      <c r="D1887" t="s">
        <v>30</v>
      </c>
      <c r="E1887" t="s">
        <v>12</v>
      </c>
      <c r="F1887" t="str">
        <f>"00621216"</f>
        <v>00621216</v>
      </c>
      <c r="G1887">
        <v>15.5</v>
      </c>
      <c r="H1887">
        <v>0</v>
      </c>
      <c r="I1887">
        <v>0</v>
      </c>
      <c r="J1887">
        <v>0</v>
      </c>
      <c r="K1887">
        <v>0</v>
      </c>
      <c r="O1887">
        <v>0</v>
      </c>
      <c r="P1887">
        <v>4</v>
      </c>
      <c r="Q1887">
        <v>0</v>
      </c>
      <c r="R1887">
        <v>19.5</v>
      </c>
      <c r="S1887">
        <v>0</v>
      </c>
      <c r="T1887">
        <v>0</v>
      </c>
      <c r="U1887">
        <v>0</v>
      </c>
      <c r="V1887">
        <v>0</v>
      </c>
      <c r="X1887">
        <v>19.5</v>
      </c>
    </row>
    <row r="1888" spans="1:24" ht="15">
      <c r="A1888">
        <v>1881</v>
      </c>
      <c r="B1888">
        <v>87138</v>
      </c>
      <c r="C1888" t="s">
        <v>2241</v>
      </c>
      <c r="D1888" t="s">
        <v>2242</v>
      </c>
      <c r="E1888" t="s">
        <v>53</v>
      </c>
      <c r="F1888" t="str">
        <f>"201504000741"</f>
        <v>201504000741</v>
      </c>
      <c r="G1888">
        <v>19.48</v>
      </c>
      <c r="H1888">
        <v>0</v>
      </c>
      <c r="I1888">
        <v>0</v>
      </c>
      <c r="J1888">
        <v>0</v>
      </c>
      <c r="K1888">
        <v>0</v>
      </c>
      <c r="O1888">
        <v>0</v>
      </c>
      <c r="P1888">
        <v>0</v>
      </c>
      <c r="Q1888">
        <v>0</v>
      </c>
      <c r="R1888">
        <v>19.48</v>
      </c>
      <c r="S1888">
        <v>0</v>
      </c>
      <c r="T1888">
        <v>0</v>
      </c>
      <c r="U1888">
        <v>0</v>
      </c>
      <c r="V1888">
        <v>0</v>
      </c>
      <c r="X1888">
        <v>19.48</v>
      </c>
    </row>
    <row r="1889" spans="1:24" ht="15">
      <c r="A1889">
        <v>1882</v>
      </c>
      <c r="B1889">
        <v>71639</v>
      </c>
      <c r="C1889" t="s">
        <v>2243</v>
      </c>
      <c r="D1889" t="s">
        <v>21</v>
      </c>
      <c r="E1889" t="s">
        <v>124</v>
      </c>
      <c r="F1889" t="str">
        <f>"00009837"</f>
        <v>00009837</v>
      </c>
      <c r="G1889">
        <v>16.43</v>
      </c>
      <c r="H1889">
        <v>0</v>
      </c>
      <c r="I1889">
        <v>0</v>
      </c>
      <c r="J1889">
        <v>0</v>
      </c>
      <c r="K1889">
        <v>0</v>
      </c>
      <c r="N1889">
        <v>3</v>
      </c>
      <c r="O1889">
        <v>3</v>
      </c>
      <c r="P1889">
        <v>0</v>
      </c>
      <c r="Q1889">
        <v>0</v>
      </c>
      <c r="R1889">
        <v>19.43</v>
      </c>
      <c r="S1889">
        <v>0</v>
      </c>
      <c r="T1889">
        <v>0</v>
      </c>
      <c r="U1889">
        <v>0</v>
      </c>
      <c r="V1889">
        <v>0</v>
      </c>
      <c r="X1889">
        <v>19.43</v>
      </c>
    </row>
    <row r="1890" spans="1:24" ht="15">
      <c r="A1890">
        <v>1883</v>
      </c>
      <c r="B1890">
        <v>89638</v>
      </c>
      <c r="C1890" t="s">
        <v>876</v>
      </c>
      <c r="D1890" t="s">
        <v>2245</v>
      </c>
      <c r="E1890" t="s">
        <v>23</v>
      </c>
      <c r="F1890" t="str">
        <f>"00380457"</f>
        <v>00380457</v>
      </c>
      <c r="G1890">
        <v>15.38</v>
      </c>
      <c r="H1890">
        <v>0</v>
      </c>
      <c r="I1890">
        <v>0</v>
      </c>
      <c r="J1890">
        <v>0</v>
      </c>
      <c r="K1890">
        <v>0</v>
      </c>
      <c r="O1890">
        <v>0</v>
      </c>
      <c r="P1890">
        <v>4</v>
      </c>
      <c r="Q1890">
        <v>0</v>
      </c>
      <c r="R1890">
        <v>19.38</v>
      </c>
      <c r="S1890">
        <v>0</v>
      </c>
      <c r="T1890">
        <v>0</v>
      </c>
      <c r="U1890">
        <v>0</v>
      </c>
      <c r="V1890">
        <v>0</v>
      </c>
      <c r="X1890">
        <v>19.38</v>
      </c>
    </row>
    <row r="1891" spans="1:24" ht="15">
      <c r="A1891">
        <v>1884</v>
      </c>
      <c r="B1891">
        <v>72574</v>
      </c>
      <c r="C1891" t="s">
        <v>2250</v>
      </c>
      <c r="D1891" t="s">
        <v>83</v>
      </c>
      <c r="E1891" t="s">
        <v>2251</v>
      </c>
      <c r="F1891" t="str">
        <f>"00622278"</f>
        <v>00622278</v>
      </c>
      <c r="G1891">
        <v>16.28</v>
      </c>
      <c r="H1891">
        <v>0</v>
      </c>
      <c r="I1891">
        <v>0</v>
      </c>
      <c r="J1891">
        <v>0</v>
      </c>
      <c r="K1891">
        <v>0</v>
      </c>
      <c r="N1891">
        <v>3</v>
      </c>
      <c r="O1891">
        <v>3</v>
      </c>
      <c r="P1891">
        <v>0</v>
      </c>
      <c r="Q1891">
        <v>0</v>
      </c>
      <c r="R1891">
        <v>19.28</v>
      </c>
      <c r="S1891">
        <v>0</v>
      </c>
      <c r="T1891">
        <v>0</v>
      </c>
      <c r="U1891">
        <v>0</v>
      </c>
      <c r="V1891">
        <v>0</v>
      </c>
      <c r="X1891">
        <v>19.28</v>
      </c>
    </row>
    <row r="1892" spans="1:24" ht="15">
      <c r="A1892">
        <v>1885</v>
      </c>
      <c r="B1892">
        <v>18120</v>
      </c>
      <c r="C1892" t="s">
        <v>2252</v>
      </c>
      <c r="D1892" t="s">
        <v>442</v>
      </c>
      <c r="E1892" t="s">
        <v>21</v>
      </c>
      <c r="F1892" t="str">
        <f>"00467265"</f>
        <v>00467265</v>
      </c>
      <c r="G1892">
        <v>15.25</v>
      </c>
      <c r="H1892">
        <v>0</v>
      </c>
      <c r="I1892">
        <v>0</v>
      </c>
      <c r="J1892">
        <v>0</v>
      </c>
      <c r="K1892">
        <v>0</v>
      </c>
      <c r="O1892">
        <v>0</v>
      </c>
      <c r="P1892">
        <v>4</v>
      </c>
      <c r="Q1892">
        <v>0</v>
      </c>
      <c r="R1892">
        <v>19.25</v>
      </c>
      <c r="S1892">
        <v>0</v>
      </c>
      <c r="T1892">
        <v>0</v>
      </c>
      <c r="U1892">
        <v>0</v>
      </c>
      <c r="V1892">
        <v>0</v>
      </c>
      <c r="X1892">
        <v>19.25</v>
      </c>
    </row>
    <row r="1893" spans="1:24" ht="15">
      <c r="A1893">
        <v>1886</v>
      </c>
      <c r="B1893">
        <v>109947</v>
      </c>
      <c r="C1893" t="s">
        <v>2146</v>
      </c>
      <c r="D1893" t="s">
        <v>75</v>
      </c>
      <c r="E1893" t="s">
        <v>155</v>
      </c>
      <c r="F1893" t="str">
        <f>"00649866"</f>
        <v>00649866</v>
      </c>
      <c r="G1893">
        <v>16.23</v>
      </c>
      <c r="H1893">
        <v>0</v>
      </c>
      <c r="I1893">
        <v>0</v>
      </c>
      <c r="J1893">
        <v>0</v>
      </c>
      <c r="K1893">
        <v>0</v>
      </c>
      <c r="N1893">
        <v>3</v>
      </c>
      <c r="O1893">
        <v>3</v>
      </c>
      <c r="P1893">
        <v>0</v>
      </c>
      <c r="Q1893">
        <v>0</v>
      </c>
      <c r="R1893">
        <v>19.23</v>
      </c>
      <c r="S1893">
        <v>0</v>
      </c>
      <c r="T1893">
        <v>0</v>
      </c>
      <c r="U1893">
        <v>0</v>
      </c>
      <c r="V1893">
        <v>0</v>
      </c>
      <c r="X1893">
        <v>19.23</v>
      </c>
    </row>
    <row r="1894" spans="1:24" ht="15">
      <c r="A1894">
        <v>1887</v>
      </c>
      <c r="B1894">
        <v>51147</v>
      </c>
      <c r="C1894" t="s">
        <v>412</v>
      </c>
      <c r="D1894" t="s">
        <v>37</v>
      </c>
      <c r="E1894" t="s">
        <v>27</v>
      </c>
      <c r="F1894" t="str">
        <f>"00440668"</f>
        <v>00440668</v>
      </c>
      <c r="G1894">
        <v>15.13</v>
      </c>
      <c r="H1894">
        <v>0</v>
      </c>
      <c r="I1894">
        <v>0</v>
      </c>
      <c r="J1894">
        <v>0</v>
      </c>
      <c r="K1894">
        <v>0</v>
      </c>
      <c r="O1894">
        <v>0</v>
      </c>
      <c r="P1894">
        <v>4</v>
      </c>
      <c r="Q1894">
        <v>0</v>
      </c>
      <c r="R1894">
        <v>19.13</v>
      </c>
      <c r="S1894">
        <v>0</v>
      </c>
      <c r="T1894">
        <v>0</v>
      </c>
      <c r="U1894">
        <v>0</v>
      </c>
      <c r="V1894">
        <v>0</v>
      </c>
      <c r="X1894">
        <v>19.13</v>
      </c>
    </row>
    <row r="1895" spans="1:24" ht="15">
      <c r="A1895">
        <v>1888</v>
      </c>
      <c r="B1895">
        <v>13109</v>
      </c>
      <c r="C1895" t="s">
        <v>2253</v>
      </c>
      <c r="D1895" t="s">
        <v>442</v>
      </c>
      <c r="E1895" t="s">
        <v>21</v>
      </c>
      <c r="F1895" t="str">
        <f>"00603787"</f>
        <v>00603787</v>
      </c>
      <c r="G1895">
        <v>19.1</v>
      </c>
      <c r="H1895">
        <v>0</v>
      </c>
      <c r="I1895">
        <v>0</v>
      </c>
      <c r="J1895">
        <v>0</v>
      </c>
      <c r="K1895">
        <v>0</v>
      </c>
      <c r="O1895">
        <v>0</v>
      </c>
      <c r="P1895">
        <v>0</v>
      </c>
      <c r="Q1895">
        <v>0</v>
      </c>
      <c r="R1895">
        <v>19.1</v>
      </c>
      <c r="S1895">
        <v>0</v>
      </c>
      <c r="T1895">
        <v>0</v>
      </c>
      <c r="U1895">
        <v>0</v>
      </c>
      <c r="V1895">
        <v>0</v>
      </c>
      <c r="X1895">
        <v>19.1</v>
      </c>
    </row>
    <row r="1896" spans="1:24" ht="15">
      <c r="A1896">
        <v>1889</v>
      </c>
      <c r="B1896">
        <v>100757</v>
      </c>
      <c r="C1896" t="s">
        <v>2254</v>
      </c>
      <c r="D1896" t="s">
        <v>53</v>
      </c>
      <c r="E1896" t="s">
        <v>259</v>
      </c>
      <c r="F1896" t="str">
        <f>"00010297"</f>
        <v>00010297</v>
      </c>
      <c r="G1896">
        <v>15</v>
      </c>
      <c r="H1896">
        <v>0</v>
      </c>
      <c r="I1896">
        <v>0</v>
      </c>
      <c r="J1896">
        <v>0</v>
      </c>
      <c r="K1896">
        <v>0</v>
      </c>
      <c r="O1896">
        <v>0</v>
      </c>
      <c r="P1896">
        <v>4</v>
      </c>
      <c r="Q1896">
        <v>0</v>
      </c>
      <c r="R1896">
        <v>19</v>
      </c>
      <c r="S1896">
        <v>0</v>
      </c>
      <c r="T1896">
        <v>0</v>
      </c>
      <c r="U1896">
        <v>0</v>
      </c>
      <c r="V1896">
        <v>0</v>
      </c>
      <c r="X1896">
        <v>19</v>
      </c>
    </row>
    <row r="1897" spans="1:24" ht="15">
      <c r="A1897">
        <v>1890</v>
      </c>
      <c r="B1897">
        <v>114310</v>
      </c>
      <c r="C1897" t="s">
        <v>2255</v>
      </c>
      <c r="D1897" t="s">
        <v>2141</v>
      </c>
      <c r="E1897" t="s">
        <v>2256</v>
      </c>
      <c r="F1897" t="str">
        <f>"00184181"</f>
        <v>00184181</v>
      </c>
      <c r="G1897">
        <v>15</v>
      </c>
      <c r="H1897">
        <v>0</v>
      </c>
      <c r="I1897">
        <v>0</v>
      </c>
      <c r="J1897">
        <v>0</v>
      </c>
      <c r="K1897">
        <v>0</v>
      </c>
      <c r="O1897">
        <v>0</v>
      </c>
      <c r="P1897">
        <v>4</v>
      </c>
      <c r="Q1897">
        <v>0</v>
      </c>
      <c r="R1897">
        <v>19</v>
      </c>
      <c r="S1897">
        <v>0</v>
      </c>
      <c r="T1897">
        <v>0</v>
      </c>
      <c r="U1897">
        <v>0</v>
      </c>
      <c r="V1897">
        <v>0</v>
      </c>
      <c r="X1897">
        <v>19</v>
      </c>
    </row>
    <row r="1898" spans="1:24" ht="15">
      <c r="A1898">
        <v>1891</v>
      </c>
      <c r="B1898">
        <v>101834</v>
      </c>
      <c r="C1898" t="s">
        <v>2257</v>
      </c>
      <c r="D1898" t="s">
        <v>370</v>
      </c>
      <c r="E1898" t="s">
        <v>21</v>
      </c>
      <c r="F1898" t="str">
        <f>"00425571"</f>
        <v>00425571</v>
      </c>
      <c r="G1898">
        <v>18.9</v>
      </c>
      <c r="H1898">
        <v>0</v>
      </c>
      <c r="I1898">
        <v>0</v>
      </c>
      <c r="J1898">
        <v>0</v>
      </c>
      <c r="K1898">
        <v>0</v>
      </c>
      <c r="O1898">
        <v>0</v>
      </c>
      <c r="P1898">
        <v>0</v>
      </c>
      <c r="Q1898">
        <v>0</v>
      </c>
      <c r="R1898">
        <v>18.9</v>
      </c>
      <c r="S1898">
        <v>0</v>
      </c>
      <c r="T1898">
        <v>0</v>
      </c>
      <c r="U1898">
        <v>0</v>
      </c>
      <c r="V1898">
        <v>0</v>
      </c>
      <c r="X1898">
        <v>18.9</v>
      </c>
    </row>
    <row r="1899" spans="1:24" ht="15">
      <c r="A1899">
        <v>1892</v>
      </c>
      <c r="B1899">
        <v>20213</v>
      </c>
      <c r="C1899" t="s">
        <v>2259</v>
      </c>
      <c r="D1899" t="s">
        <v>188</v>
      </c>
      <c r="E1899" t="s">
        <v>27</v>
      </c>
      <c r="F1899" t="str">
        <f>"00155997"</f>
        <v>00155997</v>
      </c>
      <c r="G1899">
        <v>18.65</v>
      </c>
      <c r="H1899">
        <v>0</v>
      </c>
      <c r="I1899">
        <v>0</v>
      </c>
      <c r="J1899">
        <v>0</v>
      </c>
      <c r="K1899">
        <v>0</v>
      </c>
      <c r="O1899">
        <v>0</v>
      </c>
      <c r="P1899">
        <v>0</v>
      </c>
      <c r="Q1899">
        <v>0</v>
      </c>
      <c r="R1899">
        <v>18.65</v>
      </c>
      <c r="S1899">
        <v>0</v>
      </c>
      <c r="T1899">
        <v>0</v>
      </c>
      <c r="U1899">
        <v>0</v>
      </c>
      <c r="V1899">
        <v>0</v>
      </c>
      <c r="X1899">
        <v>18.65</v>
      </c>
    </row>
    <row r="1900" spans="1:24" ht="15">
      <c r="A1900">
        <v>1893</v>
      </c>
      <c r="B1900">
        <v>108403</v>
      </c>
      <c r="C1900" t="s">
        <v>966</v>
      </c>
      <c r="D1900" t="s">
        <v>111</v>
      </c>
      <c r="E1900" t="s">
        <v>1479</v>
      </c>
      <c r="F1900" t="str">
        <f>"00144871"</f>
        <v>00144871</v>
      </c>
      <c r="G1900">
        <v>14.65</v>
      </c>
      <c r="H1900">
        <v>0</v>
      </c>
      <c r="I1900">
        <v>0</v>
      </c>
      <c r="J1900">
        <v>0</v>
      </c>
      <c r="K1900">
        <v>0</v>
      </c>
      <c r="O1900">
        <v>0</v>
      </c>
      <c r="P1900">
        <v>4</v>
      </c>
      <c r="Q1900">
        <v>0</v>
      </c>
      <c r="R1900">
        <v>18.65</v>
      </c>
      <c r="S1900">
        <v>0</v>
      </c>
      <c r="T1900">
        <v>0</v>
      </c>
      <c r="U1900">
        <v>0</v>
      </c>
      <c r="V1900">
        <v>0</v>
      </c>
      <c r="X1900">
        <v>18.65</v>
      </c>
    </row>
    <row r="1901" spans="1:24" ht="15">
      <c r="A1901">
        <v>1894</v>
      </c>
      <c r="B1901">
        <v>22030</v>
      </c>
      <c r="C1901" t="s">
        <v>2262</v>
      </c>
      <c r="D1901" t="s">
        <v>2263</v>
      </c>
      <c r="E1901" t="s">
        <v>17</v>
      </c>
      <c r="F1901" t="str">
        <f>"00599773"</f>
        <v>00599773</v>
      </c>
      <c r="G1901">
        <v>18.4</v>
      </c>
      <c r="H1901">
        <v>0</v>
      </c>
      <c r="I1901">
        <v>0</v>
      </c>
      <c r="J1901">
        <v>0</v>
      </c>
      <c r="K1901">
        <v>0</v>
      </c>
      <c r="O1901">
        <v>0</v>
      </c>
      <c r="P1901">
        <v>0</v>
      </c>
      <c r="Q1901">
        <v>0</v>
      </c>
      <c r="R1901">
        <v>18.4</v>
      </c>
      <c r="S1901">
        <v>0</v>
      </c>
      <c r="T1901">
        <v>0</v>
      </c>
      <c r="U1901">
        <v>0</v>
      </c>
      <c r="V1901">
        <v>0</v>
      </c>
      <c r="X1901">
        <v>18.4</v>
      </c>
    </row>
    <row r="1902" spans="1:24" ht="15">
      <c r="A1902">
        <v>1895</v>
      </c>
      <c r="B1902">
        <v>104039</v>
      </c>
      <c r="C1902" t="s">
        <v>2264</v>
      </c>
      <c r="D1902" t="s">
        <v>21</v>
      </c>
      <c r="E1902" t="s">
        <v>27</v>
      </c>
      <c r="F1902" t="str">
        <f>"00148659"</f>
        <v>00148659</v>
      </c>
      <c r="G1902">
        <v>14.38</v>
      </c>
      <c r="H1902">
        <v>0</v>
      </c>
      <c r="I1902">
        <v>0</v>
      </c>
      <c r="J1902">
        <v>0</v>
      </c>
      <c r="K1902">
        <v>0</v>
      </c>
      <c r="O1902">
        <v>0</v>
      </c>
      <c r="P1902">
        <v>4</v>
      </c>
      <c r="Q1902">
        <v>0</v>
      </c>
      <c r="R1902">
        <v>18.38</v>
      </c>
      <c r="S1902">
        <v>0</v>
      </c>
      <c r="T1902">
        <v>0</v>
      </c>
      <c r="U1902">
        <v>0</v>
      </c>
      <c r="V1902">
        <v>0</v>
      </c>
      <c r="X1902">
        <v>18.38</v>
      </c>
    </row>
    <row r="1903" spans="1:24" ht="15">
      <c r="A1903">
        <v>1896</v>
      </c>
      <c r="B1903">
        <v>108839</v>
      </c>
      <c r="C1903" t="s">
        <v>1285</v>
      </c>
      <c r="D1903" t="s">
        <v>29</v>
      </c>
      <c r="E1903" t="s">
        <v>27</v>
      </c>
      <c r="F1903" t="str">
        <f>"00646445"</f>
        <v>00646445</v>
      </c>
      <c r="G1903">
        <v>15.3</v>
      </c>
      <c r="H1903">
        <v>0</v>
      </c>
      <c r="I1903">
        <v>0</v>
      </c>
      <c r="J1903">
        <v>0</v>
      </c>
      <c r="K1903">
        <v>0</v>
      </c>
      <c r="O1903">
        <v>0</v>
      </c>
      <c r="P1903">
        <v>0</v>
      </c>
      <c r="Q1903">
        <v>0</v>
      </c>
      <c r="R1903">
        <v>15.3</v>
      </c>
      <c r="S1903">
        <v>0</v>
      </c>
      <c r="T1903">
        <v>0</v>
      </c>
      <c r="U1903">
        <v>3</v>
      </c>
      <c r="V1903">
        <v>0</v>
      </c>
      <c r="X1903">
        <v>18.3</v>
      </c>
    </row>
    <row r="1904" spans="1:24" ht="15">
      <c r="A1904">
        <v>1897</v>
      </c>
      <c r="B1904">
        <v>76419</v>
      </c>
      <c r="C1904" t="s">
        <v>2268</v>
      </c>
      <c r="D1904" t="s">
        <v>30</v>
      </c>
      <c r="E1904" t="s">
        <v>21</v>
      </c>
      <c r="F1904" t="str">
        <f>"201207000166"</f>
        <v>201207000166</v>
      </c>
      <c r="G1904">
        <v>15.18</v>
      </c>
      <c r="H1904">
        <v>0</v>
      </c>
      <c r="I1904">
        <v>0</v>
      </c>
      <c r="J1904">
        <v>0</v>
      </c>
      <c r="K1904">
        <v>0</v>
      </c>
      <c r="N1904">
        <v>3</v>
      </c>
      <c r="O1904">
        <v>3</v>
      </c>
      <c r="P1904">
        <v>0</v>
      </c>
      <c r="Q1904">
        <v>0</v>
      </c>
      <c r="R1904">
        <v>18.18</v>
      </c>
      <c r="S1904">
        <v>0</v>
      </c>
      <c r="T1904">
        <v>0</v>
      </c>
      <c r="U1904">
        <v>0</v>
      </c>
      <c r="V1904">
        <v>0</v>
      </c>
      <c r="X1904">
        <v>18.18</v>
      </c>
    </row>
    <row r="1905" spans="1:24" ht="15">
      <c r="A1905">
        <v>1898</v>
      </c>
      <c r="B1905">
        <v>51032</v>
      </c>
      <c r="C1905" t="s">
        <v>2272</v>
      </c>
      <c r="D1905" t="s">
        <v>916</v>
      </c>
      <c r="E1905" t="s">
        <v>2273</v>
      </c>
      <c r="F1905" t="str">
        <f>"00612197"</f>
        <v>00612197</v>
      </c>
      <c r="G1905">
        <v>18</v>
      </c>
      <c r="H1905">
        <v>0</v>
      </c>
      <c r="I1905">
        <v>0</v>
      </c>
      <c r="J1905">
        <v>0</v>
      </c>
      <c r="K1905">
        <v>0</v>
      </c>
      <c r="O1905">
        <v>0</v>
      </c>
      <c r="P1905">
        <v>0</v>
      </c>
      <c r="Q1905">
        <v>0</v>
      </c>
      <c r="R1905">
        <v>18</v>
      </c>
      <c r="S1905">
        <v>0</v>
      </c>
      <c r="T1905">
        <v>0</v>
      </c>
      <c r="U1905">
        <v>0</v>
      </c>
      <c r="V1905">
        <v>0</v>
      </c>
      <c r="X1905">
        <v>18</v>
      </c>
    </row>
    <row r="1906" spans="1:24" ht="15">
      <c r="A1906">
        <v>1899</v>
      </c>
      <c r="B1906">
        <v>76382</v>
      </c>
      <c r="C1906" t="s">
        <v>64</v>
      </c>
      <c r="D1906" t="s">
        <v>407</v>
      </c>
      <c r="E1906" t="s">
        <v>30</v>
      </c>
      <c r="F1906" t="str">
        <f>"00643229"</f>
        <v>00643229</v>
      </c>
      <c r="G1906">
        <v>17.5</v>
      </c>
      <c r="H1906">
        <v>0</v>
      </c>
      <c r="I1906">
        <v>0</v>
      </c>
      <c r="J1906">
        <v>0</v>
      </c>
      <c r="K1906">
        <v>0</v>
      </c>
      <c r="O1906">
        <v>0</v>
      </c>
      <c r="P1906">
        <v>0</v>
      </c>
      <c r="Q1906">
        <v>0</v>
      </c>
      <c r="R1906">
        <v>17.5</v>
      </c>
      <c r="S1906">
        <v>0</v>
      </c>
      <c r="T1906">
        <v>0</v>
      </c>
      <c r="U1906">
        <v>0</v>
      </c>
      <c r="V1906">
        <v>0</v>
      </c>
      <c r="X1906">
        <v>17.5</v>
      </c>
    </row>
    <row r="1907" spans="1:24" ht="15">
      <c r="A1907">
        <v>1900</v>
      </c>
      <c r="B1907">
        <v>6168</v>
      </c>
      <c r="C1907" t="s">
        <v>2278</v>
      </c>
      <c r="D1907" t="s">
        <v>17</v>
      </c>
      <c r="E1907" t="s">
        <v>30</v>
      </c>
      <c r="F1907" t="str">
        <f>"201412001512"</f>
        <v>201412001512</v>
      </c>
      <c r="G1907">
        <v>17.38</v>
      </c>
      <c r="H1907">
        <v>0</v>
      </c>
      <c r="I1907">
        <v>0</v>
      </c>
      <c r="J1907">
        <v>0</v>
      </c>
      <c r="K1907">
        <v>0</v>
      </c>
      <c r="O1907">
        <v>0</v>
      </c>
      <c r="P1907">
        <v>0</v>
      </c>
      <c r="Q1907">
        <v>0</v>
      </c>
      <c r="R1907">
        <v>17.38</v>
      </c>
      <c r="S1907">
        <v>0</v>
      </c>
      <c r="T1907">
        <v>0</v>
      </c>
      <c r="U1907">
        <v>0</v>
      </c>
      <c r="V1907">
        <v>0</v>
      </c>
      <c r="X1907">
        <v>17.38</v>
      </c>
    </row>
    <row r="1908" spans="1:24" ht="15">
      <c r="A1908">
        <v>1901</v>
      </c>
      <c r="B1908">
        <v>75634</v>
      </c>
      <c r="C1908" t="s">
        <v>2280</v>
      </c>
      <c r="D1908" t="s">
        <v>774</v>
      </c>
      <c r="E1908" t="s">
        <v>139</v>
      </c>
      <c r="F1908" t="str">
        <f>"00640659"</f>
        <v>00640659</v>
      </c>
      <c r="G1908">
        <v>17.25</v>
      </c>
      <c r="H1908">
        <v>0</v>
      </c>
      <c r="I1908">
        <v>0</v>
      </c>
      <c r="J1908">
        <v>0</v>
      </c>
      <c r="K1908">
        <v>0</v>
      </c>
      <c r="O1908">
        <v>0</v>
      </c>
      <c r="P1908">
        <v>0</v>
      </c>
      <c r="Q1908">
        <v>0</v>
      </c>
      <c r="R1908">
        <v>17.25</v>
      </c>
      <c r="S1908">
        <v>0</v>
      </c>
      <c r="T1908">
        <v>0</v>
      </c>
      <c r="U1908">
        <v>0</v>
      </c>
      <c r="V1908">
        <v>0</v>
      </c>
      <c r="X1908">
        <v>17.25</v>
      </c>
    </row>
    <row r="1909" spans="1:24" ht="15">
      <c r="A1909">
        <v>1902</v>
      </c>
      <c r="B1909">
        <v>65384</v>
      </c>
      <c r="C1909" t="s">
        <v>2282</v>
      </c>
      <c r="D1909" t="s">
        <v>2283</v>
      </c>
      <c r="E1909" t="s">
        <v>911</v>
      </c>
      <c r="F1909" t="str">
        <f>"00614570"</f>
        <v>00614570</v>
      </c>
      <c r="G1909">
        <v>16.78</v>
      </c>
      <c r="H1909">
        <v>0</v>
      </c>
      <c r="I1909">
        <v>0</v>
      </c>
      <c r="J1909">
        <v>0</v>
      </c>
      <c r="K1909">
        <v>0</v>
      </c>
      <c r="O1909">
        <v>0</v>
      </c>
      <c r="P1909">
        <v>0</v>
      </c>
      <c r="Q1909">
        <v>0</v>
      </c>
      <c r="R1909">
        <v>16.78</v>
      </c>
      <c r="S1909">
        <v>0</v>
      </c>
      <c r="T1909">
        <v>0</v>
      </c>
      <c r="U1909">
        <v>0</v>
      </c>
      <c r="V1909">
        <v>0</v>
      </c>
      <c r="X1909">
        <v>16.78</v>
      </c>
    </row>
    <row r="1910" spans="1:24" ht="15">
      <c r="A1910">
        <v>1903</v>
      </c>
      <c r="B1910">
        <v>102284</v>
      </c>
      <c r="C1910" t="s">
        <v>2285</v>
      </c>
      <c r="D1910" t="s">
        <v>17</v>
      </c>
      <c r="E1910" t="s">
        <v>60</v>
      </c>
      <c r="F1910" t="str">
        <f>"00650333"</f>
        <v>00650333</v>
      </c>
      <c r="G1910">
        <v>16.63</v>
      </c>
      <c r="H1910">
        <v>0</v>
      </c>
      <c r="I1910">
        <v>0</v>
      </c>
      <c r="J1910">
        <v>0</v>
      </c>
      <c r="K1910">
        <v>0</v>
      </c>
      <c r="O1910">
        <v>0</v>
      </c>
      <c r="P1910">
        <v>0</v>
      </c>
      <c r="Q1910">
        <v>0</v>
      </c>
      <c r="R1910">
        <v>16.63</v>
      </c>
      <c r="S1910">
        <v>0</v>
      </c>
      <c r="T1910">
        <v>0</v>
      </c>
      <c r="U1910">
        <v>0</v>
      </c>
      <c r="V1910">
        <v>0</v>
      </c>
      <c r="X1910">
        <v>16.63</v>
      </c>
    </row>
    <row r="1911" spans="1:24" ht="15">
      <c r="A1911">
        <v>1904</v>
      </c>
      <c r="B1911">
        <v>32681</v>
      </c>
      <c r="C1911" t="s">
        <v>2287</v>
      </c>
      <c r="D1911" t="s">
        <v>1990</v>
      </c>
      <c r="E1911" t="s">
        <v>124</v>
      </c>
      <c r="F1911" t="str">
        <f>"00601010"</f>
        <v>00601010</v>
      </c>
      <c r="G1911">
        <v>16.33</v>
      </c>
      <c r="H1911">
        <v>0</v>
      </c>
      <c r="I1911">
        <v>0</v>
      </c>
      <c r="J1911">
        <v>0</v>
      </c>
      <c r="K1911">
        <v>0</v>
      </c>
      <c r="O1911">
        <v>0</v>
      </c>
      <c r="P1911">
        <v>0</v>
      </c>
      <c r="Q1911">
        <v>0</v>
      </c>
      <c r="R1911">
        <v>16.33</v>
      </c>
      <c r="S1911">
        <v>0</v>
      </c>
      <c r="T1911">
        <v>0</v>
      </c>
      <c r="U1911">
        <v>0</v>
      </c>
      <c r="V1911">
        <v>0</v>
      </c>
      <c r="X1911">
        <v>16.33</v>
      </c>
    </row>
    <row r="1912" spans="1:24" ht="15">
      <c r="A1912">
        <v>1905</v>
      </c>
      <c r="B1912">
        <v>70100</v>
      </c>
      <c r="C1912" t="s">
        <v>2292</v>
      </c>
      <c r="D1912" t="s">
        <v>153</v>
      </c>
      <c r="E1912" t="s">
        <v>1490</v>
      </c>
      <c r="F1912" t="str">
        <f>"201406006284"</f>
        <v>201406006284</v>
      </c>
      <c r="G1912">
        <v>15.98</v>
      </c>
      <c r="H1912">
        <v>0</v>
      </c>
      <c r="I1912">
        <v>0</v>
      </c>
      <c r="J1912">
        <v>0</v>
      </c>
      <c r="K1912">
        <v>0</v>
      </c>
      <c r="O1912">
        <v>0</v>
      </c>
      <c r="P1912">
        <v>0</v>
      </c>
      <c r="Q1912">
        <v>0</v>
      </c>
      <c r="R1912">
        <v>15.98</v>
      </c>
      <c r="S1912">
        <v>0</v>
      </c>
      <c r="T1912">
        <v>0</v>
      </c>
      <c r="U1912">
        <v>0</v>
      </c>
      <c r="V1912">
        <v>0</v>
      </c>
      <c r="X1912">
        <v>15.98</v>
      </c>
    </row>
    <row r="1913" spans="1:24" ht="15">
      <c r="A1913">
        <v>1906</v>
      </c>
      <c r="B1913">
        <v>88115</v>
      </c>
      <c r="C1913" t="s">
        <v>2294</v>
      </c>
      <c r="D1913" t="s">
        <v>27</v>
      </c>
      <c r="E1913" t="s">
        <v>21</v>
      </c>
      <c r="F1913" t="str">
        <f>"00650647"</f>
        <v>00650647</v>
      </c>
      <c r="G1913">
        <v>15.63</v>
      </c>
      <c r="H1913">
        <v>0</v>
      </c>
      <c r="I1913">
        <v>0</v>
      </c>
      <c r="J1913">
        <v>0</v>
      </c>
      <c r="K1913">
        <v>0</v>
      </c>
      <c r="O1913">
        <v>0</v>
      </c>
      <c r="P1913">
        <v>0</v>
      </c>
      <c r="Q1913">
        <v>0</v>
      </c>
      <c r="R1913">
        <v>15.63</v>
      </c>
      <c r="S1913">
        <v>0</v>
      </c>
      <c r="T1913">
        <v>0</v>
      </c>
      <c r="U1913">
        <v>0</v>
      </c>
      <c r="V1913">
        <v>0</v>
      </c>
      <c r="X1913">
        <v>15.63</v>
      </c>
    </row>
    <row r="1914" spans="1:24" ht="15">
      <c r="A1914">
        <v>1907</v>
      </c>
      <c r="B1914">
        <v>108426</v>
      </c>
      <c r="C1914" t="s">
        <v>2295</v>
      </c>
      <c r="D1914" t="s">
        <v>465</v>
      </c>
      <c r="E1914" t="s">
        <v>201</v>
      </c>
      <c r="F1914" t="str">
        <f>"00622733"</f>
        <v>00622733</v>
      </c>
      <c r="G1914">
        <v>15.58</v>
      </c>
      <c r="H1914">
        <v>0</v>
      </c>
      <c r="I1914">
        <v>0</v>
      </c>
      <c r="J1914">
        <v>0</v>
      </c>
      <c r="K1914">
        <v>0</v>
      </c>
      <c r="O1914">
        <v>0</v>
      </c>
      <c r="P1914">
        <v>0</v>
      </c>
      <c r="Q1914">
        <v>0</v>
      </c>
      <c r="R1914">
        <v>15.58</v>
      </c>
      <c r="S1914">
        <v>0</v>
      </c>
      <c r="T1914">
        <v>0</v>
      </c>
      <c r="U1914">
        <v>0</v>
      </c>
      <c r="V1914">
        <v>0</v>
      </c>
      <c r="X1914">
        <v>15.58</v>
      </c>
    </row>
    <row r="1915" spans="1:24" ht="15">
      <c r="A1915">
        <v>1908</v>
      </c>
      <c r="B1915">
        <v>64452</v>
      </c>
      <c r="C1915" t="s">
        <v>2296</v>
      </c>
      <c r="D1915" t="s">
        <v>1774</v>
      </c>
      <c r="E1915" t="s">
        <v>17</v>
      </c>
      <c r="F1915" t="str">
        <f>"00555888"</f>
        <v>00555888</v>
      </c>
      <c r="G1915">
        <v>12.5</v>
      </c>
      <c r="H1915">
        <v>0</v>
      </c>
      <c r="I1915">
        <v>0</v>
      </c>
      <c r="J1915">
        <v>0</v>
      </c>
      <c r="K1915">
        <v>0</v>
      </c>
      <c r="N1915">
        <v>3</v>
      </c>
      <c r="O1915">
        <v>3</v>
      </c>
      <c r="P1915">
        <v>0</v>
      </c>
      <c r="Q1915">
        <v>0</v>
      </c>
      <c r="R1915">
        <v>15.5</v>
      </c>
      <c r="S1915">
        <v>0</v>
      </c>
      <c r="T1915">
        <v>0</v>
      </c>
      <c r="U1915">
        <v>0</v>
      </c>
      <c r="V1915">
        <v>0</v>
      </c>
      <c r="X1915">
        <v>15.5</v>
      </c>
    </row>
    <row r="1916" spans="1:24" ht="15">
      <c r="A1916">
        <v>1909</v>
      </c>
      <c r="B1916">
        <v>80688</v>
      </c>
      <c r="C1916" t="s">
        <v>2297</v>
      </c>
      <c r="D1916" t="s">
        <v>23</v>
      </c>
      <c r="E1916" t="s">
        <v>27</v>
      </c>
      <c r="F1916" t="str">
        <f>"00638048"</f>
        <v>00638048</v>
      </c>
      <c r="G1916">
        <v>15.43</v>
      </c>
      <c r="H1916">
        <v>0</v>
      </c>
      <c r="I1916">
        <v>0</v>
      </c>
      <c r="J1916">
        <v>0</v>
      </c>
      <c r="K1916">
        <v>0</v>
      </c>
      <c r="O1916">
        <v>0</v>
      </c>
      <c r="P1916">
        <v>0</v>
      </c>
      <c r="Q1916">
        <v>0</v>
      </c>
      <c r="R1916">
        <v>15.43</v>
      </c>
      <c r="S1916">
        <v>0</v>
      </c>
      <c r="T1916">
        <v>0</v>
      </c>
      <c r="U1916">
        <v>0</v>
      </c>
      <c r="V1916">
        <v>0</v>
      </c>
      <c r="X1916">
        <v>15.43</v>
      </c>
    </row>
    <row r="1917" spans="1:24" ht="15">
      <c r="A1917">
        <v>1910</v>
      </c>
      <c r="B1917">
        <v>79070</v>
      </c>
      <c r="C1917" t="s">
        <v>2304</v>
      </c>
      <c r="D1917" t="s">
        <v>16</v>
      </c>
      <c r="E1917" t="s">
        <v>21</v>
      </c>
      <c r="F1917" t="str">
        <f>"00331130"</f>
        <v>00331130</v>
      </c>
      <c r="G1917">
        <v>15</v>
      </c>
      <c r="H1917">
        <v>0</v>
      </c>
      <c r="I1917">
        <v>0</v>
      </c>
      <c r="J1917">
        <v>0</v>
      </c>
      <c r="K1917">
        <v>0</v>
      </c>
      <c r="O1917">
        <v>0</v>
      </c>
      <c r="P1917">
        <v>0</v>
      </c>
      <c r="Q1917">
        <v>0</v>
      </c>
      <c r="R1917">
        <v>15</v>
      </c>
      <c r="S1917">
        <v>0</v>
      </c>
      <c r="T1917">
        <v>0</v>
      </c>
      <c r="U1917">
        <v>0</v>
      </c>
      <c r="V1917">
        <v>0</v>
      </c>
      <c r="X1917">
        <v>15</v>
      </c>
    </row>
    <row r="1918" spans="1:24" ht="15">
      <c r="A1918">
        <v>1911</v>
      </c>
      <c r="B1918">
        <v>88711</v>
      </c>
      <c r="C1918" t="s">
        <v>337</v>
      </c>
      <c r="D1918" t="s">
        <v>21</v>
      </c>
      <c r="E1918" t="s">
        <v>30</v>
      </c>
      <c r="F1918" t="str">
        <f>"00604487"</f>
        <v>00604487</v>
      </c>
      <c r="G1918">
        <v>14.65</v>
      </c>
      <c r="H1918">
        <v>0</v>
      </c>
      <c r="I1918">
        <v>0</v>
      </c>
      <c r="J1918">
        <v>0</v>
      </c>
      <c r="K1918">
        <v>0</v>
      </c>
      <c r="O1918">
        <v>0</v>
      </c>
      <c r="P1918">
        <v>0</v>
      </c>
      <c r="Q1918">
        <v>0</v>
      </c>
      <c r="R1918">
        <v>14.65</v>
      </c>
      <c r="S1918">
        <v>0</v>
      </c>
      <c r="T1918">
        <v>0</v>
      </c>
      <c r="U1918">
        <v>0</v>
      </c>
      <c r="V1918">
        <v>0</v>
      </c>
      <c r="X1918">
        <v>14.65</v>
      </c>
    </row>
    <row r="1920" ht="15">
      <c r="A1920" t="s">
        <v>2306</v>
      </c>
    </row>
    <row r="1921" ht="15">
      <c r="A1921" t="s">
        <v>2307</v>
      </c>
    </row>
    <row r="1922" ht="15">
      <c r="A1922" t="s">
        <v>2308</v>
      </c>
    </row>
    <row r="1923" ht="15">
      <c r="A1923" t="s">
        <v>2309</v>
      </c>
    </row>
    <row r="1924" ht="15">
      <c r="A1924" t="s">
        <v>2310</v>
      </c>
    </row>
    <row r="1925" ht="15">
      <c r="A1925" t="s">
        <v>2311</v>
      </c>
    </row>
    <row r="1926" ht="15">
      <c r="A1926" t="s">
        <v>2312</v>
      </c>
    </row>
    <row r="1927" ht="15">
      <c r="A1927" t="s">
        <v>2313</v>
      </c>
    </row>
    <row r="1928" ht="15">
      <c r="A1928" t="s">
        <v>2314</v>
      </c>
    </row>
    <row r="1929" ht="15">
      <c r="A1929" t="s">
        <v>2315</v>
      </c>
    </row>
    <row r="1930" ht="15">
      <c r="A1930" t="s">
        <v>2316</v>
      </c>
    </row>
    <row r="1931" ht="15">
      <c r="A1931" t="s">
        <v>2317</v>
      </c>
    </row>
    <row r="1932" ht="15">
      <c r="A1932" t="s">
        <v>2318</v>
      </c>
    </row>
    <row r="1933" ht="15">
      <c r="A1933" t="s">
        <v>2319</v>
      </c>
    </row>
    <row r="1934" ht="15">
      <c r="A1934" t="s">
        <v>2320</v>
      </c>
    </row>
    <row r="1935" ht="15">
      <c r="A1935" t="s">
        <v>2321</v>
      </c>
    </row>
    <row r="1936" ht="15">
      <c r="A1936" t="s">
        <v>2322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Evangelos Ntaoutis</cp:lastModifiedBy>
  <dcterms:created xsi:type="dcterms:W3CDTF">2020-08-06T04:50:35Z</dcterms:created>
  <dcterms:modified xsi:type="dcterms:W3CDTF">2020-08-06T05:40:28Z</dcterms:modified>
  <cp:category/>
  <cp:version/>
  <cp:contentType/>
  <cp:contentStatus/>
</cp:coreProperties>
</file>